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Documents\IAQS PROJECTS\Maitreyi Pawar_FM and excel Sem 1_Roll.No 54\"/>
    </mc:Choice>
  </mc:AlternateContent>
  <xr:revisionPtr revIDLastSave="0" documentId="13_ncr:1_{FD1E929E-5BD7-428D-8E44-180074675899}" xr6:coauthVersionLast="47" xr6:coauthVersionMax="47" xr10:uidLastSave="{00000000-0000-0000-0000-000000000000}"/>
  <bookViews>
    <workbookView xWindow="-120" yWindow="-120" windowWidth="20730" windowHeight="11040" tabRatio="882" firstSheet="1" activeTab="7" xr2:uid="{00000000-000D-0000-FFFF-FFFF00000000}"/>
  </bookViews>
  <sheets>
    <sheet name="SHEET 1" sheetId="4" r:id="rId1"/>
    <sheet name="Negative Cashflows" sheetId="5" r:id="rId2"/>
    <sheet name="Positive Cashflows" sheetId="6" r:id="rId3"/>
    <sheet name="Question 1 Answer" sheetId="12" r:id="rId4"/>
    <sheet name="Question 2 Answer" sheetId="9" r:id="rId5"/>
    <sheet name="Q3 Working" sheetId="8" r:id="rId6"/>
    <sheet name=" Question 3 Answer Part 1" sheetId="10" r:id="rId7"/>
    <sheet name="Question 3 Answer Part 2" sheetId="1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5" i="6" l="1"/>
  <c r="C26" i="6"/>
  <c r="C27" i="6"/>
  <c r="C28" i="6"/>
  <c r="C29" i="6"/>
  <c r="C30" i="6"/>
  <c r="C31" i="6"/>
  <c r="C32" i="6"/>
  <c r="C33" i="6"/>
  <c r="C34" i="6"/>
  <c r="C24" i="6"/>
  <c r="C19" i="6"/>
  <c r="B78" i="13"/>
  <c r="B77" i="13"/>
  <c r="B76" i="13"/>
  <c r="B75" i="13"/>
  <c r="B74" i="13"/>
  <c r="B73" i="13"/>
  <c r="B72" i="13"/>
  <c r="B71" i="13"/>
  <c r="B70" i="13"/>
  <c r="B69" i="13"/>
  <c r="D99" i="13"/>
  <c r="E99" i="13" s="1"/>
  <c r="D100" i="13"/>
  <c r="E100" i="13" s="1"/>
  <c r="D101" i="13"/>
  <c r="E101" i="13" s="1"/>
  <c r="D102" i="13"/>
  <c r="E102" i="13" s="1"/>
  <c r="D103" i="13"/>
  <c r="E103" i="13" s="1"/>
  <c r="BF59" i="13"/>
  <c r="BG59" i="13" s="1"/>
  <c r="BF60" i="13"/>
  <c r="BG60" i="13" s="1"/>
  <c r="BF61" i="13"/>
  <c r="BG61" i="13" s="1"/>
  <c r="BF62" i="13"/>
  <c r="BG62" i="13" s="1"/>
  <c r="BF63" i="13"/>
  <c r="BG63" i="13" s="1"/>
  <c r="AZ59" i="13"/>
  <c r="BA59" i="13" s="1"/>
  <c r="AZ60" i="13"/>
  <c r="BA60" i="13" s="1"/>
  <c r="AZ61" i="13"/>
  <c r="BA61" i="13" s="1"/>
  <c r="AZ62" i="13"/>
  <c r="BA62" i="13" s="1"/>
  <c r="AZ63" i="13"/>
  <c r="BA63" i="13" s="1"/>
  <c r="AT59" i="13"/>
  <c r="AU59" i="13" s="1"/>
  <c r="AT60" i="13"/>
  <c r="AU60" i="13" s="1"/>
  <c r="AT61" i="13"/>
  <c r="AU61" i="13" s="1"/>
  <c r="AT62" i="13"/>
  <c r="AU62" i="13" s="1"/>
  <c r="AT63" i="13"/>
  <c r="AU63" i="13" s="1"/>
  <c r="AN59" i="13"/>
  <c r="AO59" i="13" s="1"/>
  <c r="AN60" i="13"/>
  <c r="AO60" i="13" s="1"/>
  <c r="AN61" i="13"/>
  <c r="AO61" i="13" s="1"/>
  <c r="AN62" i="13"/>
  <c r="AO62" i="13" s="1"/>
  <c r="AN63" i="13"/>
  <c r="AO63" i="13" s="1"/>
  <c r="AH59" i="13"/>
  <c r="AI59" i="13" s="1"/>
  <c r="AH60" i="13"/>
  <c r="AI60" i="13" s="1"/>
  <c r="AH61" i="13"/>
  <c r="AI61" i="13" s="1"/>
  <c r="AH62" i="13"/>
  <c r="AI62" i="13" s="1"/>
  <c r="AH63" i="13"/>
  <c r="AI63" i="13" s="1"/>
  <c r="AB59" i="13"/>
  <c r="AC59" i="13" s="1"/>
  <c r="AB60" i="13"/>
  <c r="AC60" i="13" s="1"/>
  <c r="AB61" i="13"/>
  <c r="AC61" i="13" s="1"/>
  <c r="AB62" i="13"/>
  <c r="AC62" i="13" s="1"/>
  <c r="AB63" i="13"/>
  <c r="AC63" i="13" s="1"/>
  <c r="V59" i="13"/>
  <c r="W59" i="13" s="1"/>
  <c r="V60" i="13"/>
  <c r="W60" i="13" s="1"/>
  <c r="V61" i="13"/>
  <c r="W61" i="13" s="1"/>
  <c r="V62" i="13"/>
  <c r="W62" i="13" s="1"/>
  <c r="V63" i="13"/>
  <c r="W63" i="13" s="1"/>
  <c r="P59" i="13"/>
  <c r="Q59" i="13" s="1"/>
  <c r="P60" i="13"/>
  <c r="Q60" i="13" s="1"/>
  <c r="P61" i="13"/>
  <c r="Q61" i="13" s="1"/>
  <c r="P62" i="13"/>
  <c r="Q62" i="13" s="1"/>
  <c r="P63" i="13"/>
  <c r="Q63" i="13" s="1"/>
  <c r="J59" i="13"/>
  <c r="K59" i="13" s="1"/>
  <c r="J60" i="13"/>
  <c r="K60" i="13" s="1"/>
  <c r="J61" i="13"/>
  <c r="K61" i="13" s="1"/>
  <c r="J62" i="13"/>
  <c r="K62" i="13" s="1"/>
  <c r="J63" i="13"/>
  <c r="K63" i="13" s="1"/>
  <c r="D59" i="13"/>
  <c r="E59" i="13" s="1"/>
  <c r="D60" i="13"/>
  <c r="E60" i="13" s="1"/>
  <c r="D61" i="13"/>
  <c r="E61" i="13" s="1"/>
  <c r="D62" i="13"/>
  <c r="E62" i="13" s="1"/>
  <c r="D63" i="13"/>
  <c r="E63" i="13" s="1"/>
  <c r="D98" i="13"/>
  <c r="D97" i="13"/>
  <c r="E97" i="13" s="1"/>
  <c r="D96" i="13"/>
  <c r="E96" i="13" s="1"/>
  <c r="D95" i="13"/>
  <c r="E95" i="13" s="1"/>
  <c r="D94" i="13"/>
  <c r="E94" i="13" s="1"/>
  <c r="D93" i="13"/>
  <c r="E93" i="13" s="1"/>
  <c r="D92" i="13"/>
  <c r="E92" i="13" s="1"/>
  <c r="D91" i="13"/>
  <c r="E91" i="13" s="1"/>
  <c r="D90" i="13"/>
  <c r="E90" i="13" s="1"/>
  <c r="D89" i="13"/>
  <c r="E89" i="13" s="1"/>
  <c r="D88" i="13"/>
  <c r="E88" i="13" s="1"/>
  <c r="D87" i="13"/>
  <c r="E87" i="13" s="1"/>
  <c r="BF58" i="13"/>
  <c r="AZ58" i="13"/>
  <c r="AT58" i="13"/>
  <c r="AN58" i="13"/>
  <c r="AH58" i="13"/>
  <c r="AB58" i="13"/>
  <c r="V58" i="13"/>
  <c r="P58" i="13"/>
  <c r="J58" i="13"/>
  <c r="D58" i="13"/>
  <c r="BF57" i="13"/>
  <c r="BG57" i="13" s="1"/>
  <c r="AZ57" i="13"/>
  <c r="BA57" i="13" s="1"/>
  <c r="AT57" i="13"/>
  <c r="AU57" i="13" s="1"/>
  <c r="AN57" i="13"/>
  <c r="AO57" i="13" s="1"/>
  <c r="AH57" i="13"/>
  <c r="AI57" i="13" s="1"/>
  <c r="AB57" i="13"/>
  <c r="AC57" i="13" s="1"/>
  <c r="V57" i="13"/>
  <c r="W57" i="13" s="1"/>
  <c r="P57" i="13"/>
  <c r="Q57" i="13" s="1"/>
  <c r="J57" i="13"/>
  <c r="K57" i="13" s="1"/>
  <c r="D57" i="13"/>
  <c r="E57" i="13" s="1"/>
  <c r="BF56" i="13"/>
  <c r="BG56" i="13" s="1"/>
  <c r="AZ56" i="13"/>
  <c r="BA56" i="13" s="1"/>
  <c r="AT56" i="13"/>
  <c r="AU56" i="13" s="1"/>
  <c r="AN56" i="13"/>
  <c r="AO56" i="13" s="1"/>
  <c r="AH56" i="13"/>
  <c r="AI56" i="13" s="1"/>
  <c r="AB56" i="13"/>
  <c r="AC56" i="13" s="1"/>
  <c r="V56" i="13"/>
  <c r="W56" i="13" s="1"/>
  <c r="P56" i="13"/>
  <c r="Q56" i="13" s="1"/>
  <c r="J56" i="13"/>
  <c r="K56" i="13" s="1"/>
  <c r="D56" i="13"/>
  <c r="E56" i="13" s="1"/>
  <c r="BF55" i="13"/>
  <c r="BG55" i="13" s="1"/>
  <c r="AZ55" i="13"/>
  <c r="BA55" i="13" s="1"/>
  <c r="AT55" i="13"/>
  <c r="AU55" i="13" s="1"/>
  <c r="AN55" i="13"/>
  <c r="AO55" i="13" s="1"/>
  <c r="AH55" i="13"/>
  <c r="AI55" i="13" s="1"/>
  <c r="AB55" i="13"/>
  <c r="AC55" i="13" s="1"/>
  <c r="V55" i="13"/>
  <c r="W55" i="13" s="1"/>
  <c r="P55" i="13"/>
  <c r="Q55" i="13" s="1"/>
  <c r="J55" i="13"/>
  <c r="K55" i="13" s="1"/>
  <c r="D55" i="13"/>
  <c r="E55" i="13" s="1"/>
  <c r="BF54" i="13"/>
  <c r="BG54" i="13" s="1"/>
  <c r="AZ54" i="13"/>
  <c r="BA54" i="13" s="1"/>
  <c r="AT54" i="13"/>
  <c r="AU54" i="13" s="1"/>
  <c r="AN54" i="13"/>
  <c r="AO54" i="13" s="1"/>
  <c r="AH54" i="13"/>
  <c r="AI54" i="13" s="1"/>
  <c r="AB54" i="13"/>
  <c r="AC54" i="13" s="1"/>
  <c r="V54" i="13"/>
  <c r="W54" i="13" s="1"/>
  <c r="P54" i="13"/>
  <c r="Q54" i="13" s="1"/>
  <c r="J54" i="13"/>
  <c r="K54" i="13" s="1"/>
  <c r="D54" i="13"/>
  <c r="E54" i="13" s="1"/>
  <c r="BF53" i="13"/>
  <c r="BG53" i="13" s="1"/>
  <c r="AZ53" i="13"/>
  <c r="BA53" i="13" s="1"/>
  <c r="AT53" i="13"/>
  <c r="AU53" i="13" s="1"/>
  <c r="AN53" i="13"/>
  <c r="AO53" i="13" s="1"/>
  <c r="AH53" i="13"/>
  <c r="AI53" i="13" s="1"/>
  <c r="AB53" i="13"/>
  <c r="AC53" i="13" s="1"/>
  <c r="V53" i="13"/>
  <c r="W53" i="13" s="1"/>
  <c r="P53" i="13"/>
  <c r="Q53" i="13" s="1"/>
  <c r="J53" i="13"/>
  <c r="K53" i="13" s="1"/>
  <c r="D53" i="13"/>
  <c r="E53" i="13" s="1"/>
  <c r="BF52" i="13"/>
  <c r="BG52" i="13" s="1"/>
  <c r="AZ52" i="13"/>
  <c r="BA52" i="13" s="1"/>
  <c r="AT52" i="13"/>
  <c r="AU52" i="13" s="1"/>
  <c r="AN52" i="13"/>
  <c r="AO52" i="13" s="1"/>
  <c r="AH52" i="13"/>
  <c r="AI52" i="13" s="1"/>
  <c r="AB52" i="13"/>
  <c r="AC52" i="13" s="1"/>
  <c r="V52" i="13"/>
  <c r="W52" i="13" s="1"/>
  <c r="P52" i="13"/>
  <c r="Q52" i="13" s="1"/>
  <c r="J52" i="13"/>
  <c r="K52" i="13" s="1"/>
  <c r="D52" i="13"/>
  <c r="E52" i="13" s="1"/>
  <c r="BF51" i="13"/>
  <c r="BG51" i="13" s="1"/>
  <c r="AZ51" i="13"/>
  <c r="BA51" i="13" s="1"/>
  <c r="AT51" i="13"/>
  <c r="AU51" i="13" s="1"/>
  <c r="AN51" i="13"/>
  <c r="AO51" i="13" s="1"/>
  <c r="AH51" i="13"/>
  <c r="AI51" i="13" s="1"/>
  <c r="AB51" i="13"/>
  <c r="AC51" i="13" s="1"/>
  <c r="V51" i="13"/>
  <c r="W51" i="13" s="1"/>
  <c r="P51" i="13"/>
  <c r="Q51" i="13" s="1"/>
  <c r="J51" i="13"/>
  <c r="K51" i="13" s="1"/>
  <c r="D51" i="13"/>
  <c r="E51" i="13" s="1"/>
  <c r="BF50" i="13"/>
  <c r="BG50" i="13" s="1"/>
  <c r="AZ50" i="13"/>
  <c r="BA50" i="13" s="1"/>
  <c r="AT50" i="13"/>
  <c r="AU50" i="13" s="1"/>
  <c r="AN50" i="13"/>
  <c r="AO50" i="13" s="1"/>
  <c r="AH50" i="13"/>
  <c r="AI50" i="13" s="1"/>
  <c r="AB50" i="13"/>
  <c r="AC50" i="13" s="1"/>
  <c r="V50" i="13"/>
  <c r="W50" i="13" s="1"/>
  <c r="P50" i="13"/>
  <c r="Q50" i="13" s="1"/>
  <c r="J50" i="13"/>
  <c r="K50" i="13" s="1"/>
  <c r="D50" i="13"/>
  <c r="E50" i="13" s="1"/>
  <c r="BF49" i="13"/>
  <c r="BG49" i="13" s="1"/>
  <c r="AZ49" i="13"/>
  <c r="BA49" i="13" s="1"/>
  <c r="AT49" i="13"/>
  <c r="AU49" i="13" s="1"/>
  <c r="AN49" i="13"/>
  <c r="AO49" i="13" s="1"/>
  <c r="AH49" i="13"/>
  <c r="AI49" i="13" s="1"/>
  <c r="AB49" i="13"/>
  <c r="AC49" i="13" s="1"/>
  <c r="V49" i="13"/>
  <c r="W49" i="13" s="1"/>
  <c r="P49" i="13"/>
  <c r="Q49" i="13" s="1"/>
  <c r="J49" i="13"/>
  <c r="K49" i="13" s="1"/>
  <c r="D49" i="13"/>
  <c r="E49" i="13" s="1"/>
  <c r="BF48" i="13"/>
  <c r="BG48" i="13" s="1"/>
  <c r="AZ48" i="13"/>
  <c r="BA48" i="13" s="1"/>
  <c r="AT48" i="13"/>
  <c r="AU48" i="13" s="1"/>
  <c r="AN48" i="13"/>
  <c r="AO48" i="13" s="1"/>
  <c r="AH48" i="13"/>
  <c r="AI48" i="13" s="1"/>
  <c r="AB48" i="13"/>
  <c r="AC48" i="13" s="1"/>
  <c r="V48" i="13"/>
  <c r="W48" i="13" s="1"/>
  <c r="P48" i="13"/>
  <c r="Q48" i="13" s="1"/>
  <c r="J48" i="13"/>
  <c r="K48" i="13" s="1"/>
  <c r="D48" i="13"/>
  <c r="E48" i="13" s="1"/>
  <c r="BF47" i="13"/>
  <c r="BG47" i="13" s="1"/>
  <c r="AZ47" i="13"/>
  <c r="BA47" i="13" s="1"/>
  <c r="AT47" i="13"/>
  <c r="AU47" i="13" s="1"/>
  <c r="AN47" i="13"/>
  <c r="AO47" i="13" s="1"/>
  <c r="AH47" i="13"/>
  <c r="AI47" i="13" s="1"/>
  <c r="AB47" i="13"/>
  <c r="AC47" i="13" s="1"/>
  <c r="V47" i="13"/>
  <c r="W47" i="13" s="1"/>
  <c r="P47" i="13"/>
  <c r="Q47" i="13" s="1"/>
  <c r="J47" i="13"/>
  <c r="K47" i="13" s="1"/>
  <c r="D47" i="13"/>
  <c r="E47" i="13" s="1"/>
  <c r="E15" i="13"/>
  <c r="D29" i="13" s="1"/>
  <c r="L32" i="10"/>
  <c r="M32" i="10"/>
  <c r="N32" i="10"/>
  <c r="O32" i="10"/>
  <c r="P32" i="10"/>
  <c r="Q32" i="10"/>
  <c r="L31" i="10"/>
  <c r="M31" i="10"/>
  <c r="N31" i="10"/>
  <c r="O31" i="10"/>
  <c r="P31" i="10"/>
  <c r="Q31" i="10"/>
  <c r="L29" i="10"/>
  <c r="M29" i="10"/>
  <c r="N29" i="10"/>
  <c r="O29" i="10"/>
  <c r="P29" i="10"/>
  <c r="Q29" i="10"/>
  <c r="L28" i="10"/>
  <c r="M28" i="10"/>
  <c r="N28" i="10"/>
  <c r="O28" i="10"/>
  <c r="P28" i="10"/>
  <c r="Q28" i="10"/>
  <c r="K27" i="10"/>
  <c r="L27" i="10"/>
  <c r="M27" i="10"/>
  <c r="N27" i="10"/>
  <c r="O27" i="10"/>
  <c r="P27" i="10"/>
  <c r="Q27" i="10"/>
  <c r="K31" i="10"/>
  <c r="J31" i="10"/>
  <c r="I31" i="10"/>
  <c r="H31" i="10"/>
  <c r="G31" i="10"/>
  <c r="F31" i="10"/>
  <c r="E31" i="10"/>
  <c r="D31" i="10"/>
  <c r="C31" i="10"/>
  <c r="B31" i="10"/>
  <c r="J29" i="10"/>
  <c r="J32" i="10" s="1"/>
  <c r="C29" i="10"/>
  <c r="C32" i="10" s="1"/>
  <c r="B29" i="10"/>
  <c r="B32" i="10" s="1"/>
  <c r="K28" i="10"/>
  <c r="J28" i="10"/>
  <c r="I28" i="10"/>
  <c r="H28" i="10"/>
  <c r="G28" i="10"/>
  <c r="F28" i="10"/>
  <c r="E28" i="10"/>
  <c r="E29" i="10" s="1"/>
  <c r="E32" i="10" s="1"/>
  <c r="D28" i="10"/>
  <c r="C28" i="10"/>
  <c r="B28" i="10"/>
  <c r="K29" i="10"/>
  <c r="K32" i="10" s="1"/>
  <c r="J27" i="10"/>
  <c r="I27" i="10"/>
  <c r="I29" i="10" s="1"/>
  <c r="I32" i="10" s="1"/>
  <c r="H27" i="10"/>
  <c r="H29" i="10" s="1"/>
  <c r="H32" i="10" s="1"/>
  <c r="G27" i="10"/>
  <c r="G29" i="10" s="1"/>
  <c r="G32" i="10" s="1"/>
  <c r="F27" i="10"/>
  <c r="F29" i="10" s="1"/>
  <c r="F32" i="10" s="1"/>
  <c r="E27" i="10"/>
  <c r="D27" i="10"/>
  <c r="D29" i="10" s="1"/>
  <c r="D32" i="10" s="1"/>
  <c r="C27" i="10"/>
  <c r="B27" i="10"/>
  <c r="B27" i="12"/>
  <c r="C27" i="12"/>
  <c r="D27" i="12"/>
  <c r="E27" i="12"/>
  <c r="F27" i="12"/>
  <c r="G27" i="12"/>
  <c r="G29" i="12" s="1"/>
  <c r="G32" i="12" s="1"/>
  <c r="H27" i="12"/>
  <c r="H29" i="12" s="1"/>
  <c r="H32" i="12" s="1"/>
  <c r="I27" i="12"/>
  <c r="I29" i="12" s="1"/>
  <c r="I32" i="12" s="1"/>
  <c r="J27" i="12"/>
  <c r="K27" i="12"/>
  <c r="L27" i="12"/>
  <c r="B28" i="12"/>
  <c r="C28" i="12"/>
  <c r="D28" i="12"/>
  <c r="D29" i="12" s="1"/>
  <c r="D32" i="12" s="1"/>
  <c r="E28" i="12"/>
  <c r="E29" i="12" s="1"/>
  <c r="E32" i="12" s="1"/>
  <c r="F28" i="12"/>
  <c r="F29" i="12" s="1"/>
  <c r="F32" i="12" s="1"/>
  <c r="G28" i="12"/>
  <c r="H28" i="12"/>
  <c r="I28" i="12"/>
  <c r="J28" i="12"/>
  <c r="K28" i="12"/>
  <c r="L28" i="12"/>
  <c r="B29" i="12"/>
  <c r="B32" i="12" s="1"/>
  <c r="C29" i="12"/>
  <c r="C32" i="12" s="1"/>
  <c r="J29" i="12"/>
  <c r="K29" i="12"/>
  <c r="K32" i="12" s="1"/>
  <c r="L29" i="12"/>
  <c r="B31" i="12"/>
  <c r="C31" i="12"/>
  <c r="D31" i="12"/>
  <c r="E31" i="12"/>
  <c r="F31" i="12"/>
  <c r="G31" i="12"/>
  <c r="H31" i="12"/>
  <c r="I31" i="12"/>
  <c r="J31" i="12"/>
  <c r="K31" i="12"/>
  <c r="L31" i="12"/>
  <c r="J32" i="12"/>
  <c r="L32" i="12"/>
  <c r="M11" i="10"/>
  <c r="C96" i="9"/>
  <c r="H2" i="9"/>
  <c r="BE61" i="9" s="1"/>
  <c r="B11" i="10"/>
  <c r="C11" i="10"/>
  <c r="D11" i="10"/>
  <c r="E11" i="10"/>
  <c r="F11" i="10"/>
  <c r="G11" i="10"/>
  <c r="H11" i="10"/>
  <c r="I11" i="10"/>
  <c r="J11" i="10"/>
  <c r="K11" i="10"/>
  <c r="L11" i="10"/>
  <c r="C3" i="10"/>
  <c r="D3" i="10" s="1"/>
  <c r="E3" i="10" s="1"/>
  <c r="F3" i="10" s="1"/>
  <c r="G3" i="10" s="1"/>
  <c r="H3" i="10" s="1"/>
  <c r="I3" i="10" s="1"/>
  <c r="J3" i="10" s="1"/>
  <c r="K3" i="10" s="1"/>
  <c r="L3" i="10" s="1"/>
  <c r="B3" i="10"/>
  <c r="L3" i="12"/>
  <c r="K3" i="12"/>
  <c r="J3" i="12"/>
  <c r="I3" i="12"/>
  <c r="H3" i="12"/>
  <c r="G3" i="12"/>
  <c r="F3" i="12"/>
  <c r="E3" i="12"/>
  <c r="D3" i="12"/>
  <c r="C3" i="12"/>
  <c r="B3" i="12"/>
  <c r="L11" i="12"/>
  <c r="K11" i="12"/>
  <c r="J11" i="12"/>
  <c r="I11" i="12"/>
  <c r="H11" i="12"/>
  <c r="G11" i="12"/>
  <c r="F11" i="12"/>
  <c r="E11" i="12"/>
  <c r="D11" i="12"/>
  <c r="B11" i="12"/>
  <c r="C11" i="12" s="1"/>
  <c r="E26" i="8"/>
  <c r="E27" i="8"/>
  <c r="E28" i="8"/>
  <c r="E29" i="8"/>
  <c r="E17" i="8"/>
  <c r="E18" i="8"/>
  <c r="E19" i="8"/>
  <c r="E20" i="8"/>
  <c r="E16" i="8"/>
  <c r="E25" i="8"/>
  <c r="Q12" i="10"/>
  <c r="P12" i="10"/>
  <c r="O12" i="10"/>
  <c r="N12" i="10"/>
  <c r="M12" i="10"/>
  <c r="B96" i="8"/>
  <c r="B97" i="8"/>
  <c r="B98" i="8" s="1"/>
  <c r="B95" i="8"/>
  <c r="B94" i="8"/>
  <c r="Q10" i="10"/>
  <c r="Q23" i="10" s="1"/>
  <c r="P10" i="10"/>
  <c r="P23" i="10" s="1"/>
  <c r="O10" i="10"/>
  <c r="O23" i="10" s="1"/>
  <c r="N10" i="10"/>
  <c r="N23" i="10" s="1"/>
  <c r="M10" i="10"/>
  <c r="M23" i="10" s="1"/>
  <c r="L10" i="10"/>
  <c r="K10" i="10"/>
  <c r="J10" i="10"/>
  <c r="I10" i="10"/>
  <c r="I23" i="10" s="1"/>
  <c r="H10" i="10"/>
  <c r="H23" i="10" s="1"/>
  <c r="G10" i="10"/>
  <c r="F10" i="10"/>
  <c r="E10" i="10"/>
  <c r="E23" i="10" s="1"/>
  <c r="D10" i="10"/>
  <c r="D23" i="10" s="1"/>
  <c r="C10" i="10"/>
  <c r="I16" i="5"/>
  <c r="B10" i="10"/>
  <c r="B23" i="10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74" i="8"/>
  <c r="F24" i="5"/>
  <c r="I24" i="5" s="1"/>
  <c r="F25" i="5"/>
  <c r="F26" i="5"/>
  <c r="E87" i="8"/>
  <c r="E88" i="8"/>
  <c r="E89" i="8"/>
  <c r="E86" i="8"/>
  <c r="E83" i="8"/>
  <c r="E84" i="8"/>
  <c r="E85" i="8"/>
  <c r="E82" i="8"/>
  <c r="E75" i="8"/>
  <c r="E76" i="8"/>
  <c r="E77" i="8"/>
  <c r="E78" i="8"/>
  <c r="E79" i="8"/>
  <c r="E80" i="8"/>
  <c r="E81" i="8"/>
  <c r="E74" i="8"/>
  <c r="F66" i="8"/>
  <c r="E66" i="8"/>
  <c r="E67" i="8"/>
  <c r="E68" i="8" s="1"/>
  <c r="E69" i="8" s="1"/>
  <c r="E65" i="8"/>
  <c r="C53" i="8"/>
  <c r="H53" i="8"/>
  <c r="C65" i="8"/>
  <c r="C66" i="8"/>
  <c r="C67" i="8"/>
  <c r="C68" i="8"/>
  <c r="C69" i="8"/>
  <c r="C55" i="8"/>
  <c r="C56" i="8"/>
  <c r="C57" i="8"/>
  <c r="C58" i="8"/>
  <c r="C59" i="8"/>
  <c r="C60" i="8"/>
  <c r="C61" i="8"/>
  <c r="C62" i="8"/>
  <c r="C63" i="8"/>
  <c r="C64" i="8"/>
  <c r="C54" i="8"/>
  <c r="E55" i="8"/>
  <c r="E56" i="8" s="1"/>
  <c r="E57" i="8" s="1"/>
  <c r="E58" i="8" s="1"/>
  <c r="E59" i="8" s="1"/>
  <c r="E60" i="8" s="1"/>
  <c r="E61" i="8" s="1"/>
  <c r="E62" i="8" s="1"/>
  <c r="F5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74" i="8"/>
  <c r="C16" i="5"/>
  <c r="C44" i="8"/>
  <c r="B44" i="8"/>
  <c r="B45" i="8" s="1"/>
  <c r="B46" i="8" s="1"/>
  <c r="B47" i="8" s="1"/>
  <c r="B48" i="8" s="1"/>
  <c r="B34" i="8"/>
  <c r="B35" i="8" s="1"/>
  <c r="G15" i="4"/>
  <c r="G6" i="8"/>
  <c r="G7" i="8" s="1"/>
  <c r="G8" i="8" s="1"/>
  <c r="G9" i="8" s="1"/>
  <c r="G10" i="8" s="1"/>
  <c r="E6" i="8"/>
  <c r="E7" i="8" s="1"/>
  <c r="D6" i="8"/>
  <c r="D7" i="8" s="1"/>
  <c r="D8" i="8" s="1"/>
  <c r="D9" i="8" s="1"/>
  <c r="D10" i="8" s="1"/>
  <c r="C6" i="8"/>
  <c r="C7" i="8" s="1"/>
  <c r="C8" i="8" s="1"/>
  <c r="C9" i="8" s="1"/>
  <c r="C10" i="8" s="1"/>
  <c r="B6" i="8"/>
  <c r="B7" i="8" s="1"/>
  <c r="B8" i="8" s="1"/>
  <c r="B9" i="8" s="1"/>
  <c r="B10" i="8" s="1"/>
  <c r="D86" i="9"/>
  <c r="E86" i="9" s="1"/>
  <c r="D87" i="9"/>
  <c r="D88" i="9"/>
  <c r="E88" i="9" s="1"/>
  <c r="D89" i="9"/>
  <c r="E89" i="9" s="1"/>
  <c r="D90" i="9"/>
  <c r="E90" i="9" s="1"/>
  <c r="D91" i="9"/>
  <c r="E91" i="9" s="1"/>
  <c r="D92" i="9"/>
  <c r="E92" i="9" s="1"/>
  <c r="D93" i="9"/>
  <c r="E93" i="9" s="1"/>
  <c r="D94" i="9"/>
  <c r="E94" i="9" s="1"/>
  <c r="D95" i="9"/>
  <c r="E95" i="9" s="1"/>
  <c r="D96" i="9"/>
  <c r="D85" i="9"/>
  <c r="E85" i="9" s="1"/>
  <c r="E87" i="9"/>
  <c r="AT50" i="9"/>
  <c r="AU50" i="9" s="1"/>
  <c r="BF50" i="9"/>
  <c r="BG50" i="9" s="1"/>
  <c r="AZ50" i="9"/>
  <c r="BA50" i="9" s="1"/>
  <c r="AT51" i="9"/>
  <c r="AU51" i="9" s="1"/>
  <c r="AN50" i="9"/>
  <c r="AO50" i="9" s="1"/>
  <c r="AH50" i="9"/>
  <c r="AI50" i="9" s="1"/>
  <c r="AH51" i="9"/>
  <c r="AI51" i="9" s="1"/>
  <c r="AB50" i="9"/>
  <c r="AC50" i="9" s="1"/>
  <c r="V50" i="9"/>
  <c r="W50" i="9" s="1"/>
  <c r="P50" i="9"/>
  <c r="Q50" i="9" s="1"/>
  <c r="P51" i="9"/>
  <c r="Q51" i="9" s="1"/>
  <c r="P52" i="9"/>
  <c r="Q52" i="9" s="1"/>
  <c r="J50" i="9"/>
  <c r="K50" i="9" s="1"/>
  <c r="D50" i="9"/>
  <c r="E50" i="9" s="1"/>
  <c r="D51" i="9"/>
  <c r="E51" i="9" s="1"/>
  <c r="D52" i="9"/>
  <c r="E52" i="9" s="1"/>
  <c r="L12" i="10"/>
  <c r="K12" i="10"/>
  <c r="J12" i="10"/>
  <c r="I12" i="10"/>
  <c r="H12" i="10"/>
  <c r="G12" i="10"/>
  <c r="F12" i="10"/>
  <c r="E12" i="10"/>
  <c r="D12" i="10"/>
  <c r="C12" i="10"/>
  <c r="B12" i="10"/>
  <c r="G23" i="10"/>
  <c r="F23" i="10"/>
  <c r="L9" i="10"/>
  <c r="K9" i="10"/>
  <c r="J9" i="10"/>
  <c r="I9" i="10"/>
  <c r="H9" i="10"/>
  <c r="G9" i="10"/>
  <c r="F9" i="10"/>
  <c r="E9" i="10"/>
  <c r="D9" i="10"/>
  <c r="C9" i="10"/>
  <c r="B9" i="10"/>
  <c r="L4" i="10"/>
  <c r="K4" i="10"/>
  <c r="J4" i="10"/>
  <c r="I4" i="10"/>
  <c r="H4" i="10"/>
  <c r="G4" i="10"/>
  <c r="F4" i="10"/>
  <c r="E4" i="10"/>
  <c r="D4" i="10"/>
  <c r="C4" i="10"/>
  <c r="B4" i="10"/>
  <c r="B5" i="10"/>
  <c r="D53" i="9"/>
  <c r="E53" i="9" s="1"/>
  <c r="D54" i="9"/>
  <c r="E54" i="9" s="1"/>
  <c r="D55" i="9"/>
  <c r="E55" i="9" s="1"/>
  <c r="D56" i="9"/>
  <c r="E56" i="9" s="1"/>
  <c r="D57" i="9"/>
  <c r="E57" i="9" s="1"/>
  <c r="D58" i="9"/>
  <c r="E58" i="9" s="1"/>
  <c r="D59" i="9"/>
  <c r="E59" i="9" s="1"/>
  <c r="D60" i="9"/>
  <c r="E60" i="9" s="1"/>
  <c r="D61" i="9"/>
  <c r="V52" i="9"/>
  <c r="W52" i="9" s="1"/>
  <c r="V53" i="9"/>
  <c r="W53" i="9" s="1"/>
  <c r="V54" i="9"/>
  <c r="W54" i="9" s="1"/>
  <c r="V55" i="9"/>
  <c r="W55" i="9" s="1"/>
  <c r="V56" i="9"/>
  <c r="W56" i="9" s="1"/>
  <c r="V57" i="9"/>
  <c r="W57" i="9" s="1"/>
  <c r="V58" i="9"/>
  <c r="W58" i="9" s="1"/>
  <c r="V59" i="9"/>
  <c r="W59" i="9" s="1"/>
  <c r="V60" i="9"/>
  <c r="W60" i="9" s="1"/>
  <c r="V61" i="9"/>
  <c r="V51" i="9"/>
  <c r="W51" i="9" s="1"/>
  <c r="AB52" i="9"/>
  <c r="AC52" i="9" s="1"/>
  <c r="AB53" i="9"/>
  <c r="AC53" i="9" s="1"/>
  <c r="AB54" i="9"/>
  <c r="AC54" i="9" s="1"/>
  <c r="AB55" i="9"/>
  <c r="AC55" i="9" s="1"/>
  <c r="AB56" i="9"/>
  <c r="AC56" i="9" s="1"/>
  <c r="AB57" i="9"/>
  <c r="AC57" i="9" s="1"/>
  <c r="AB58" i="9"/>
  <c r="AC58" i="9" s="1"/>
  <c r="AB59" i="9"/>
  <c r="AC59" i="9" s="1"/>
  <c r="AB60" i="9"/>
  <c r="AC60" i="9" s="1"/>
  <c r="AB61" i="9"/>
  <c r="AB51" i="9"/>
  <c r="AC51" i="9" s="1"/>
  <c r="AH52" i="9"/>
  <c r="AI52" i="9" s="1"/>
  <c r="AH53" i="9"/>
  <c r="AI53" i="9" s="1"/>
  <c r="AH54" i="9"/>
  <c r="AI54" i="9" s="1"/>
  <c r="AH55" i="9"/>
  <c r="AI55" i="9" s="1"/>
  <c r="AH56" i="9"/>
  <c r="AI56" i="9" s="1"/>
  <c r="AH57" i="9"/>
  <c r="AI57" i="9" s="1"/>
  <c r="AH58" i="9"/>
  <c r="AI58" i="9" s="1"/>
  <c r="AH59" i="9"/>
  <c r="AI59" i="9" s="1"/>
  <c r="AH60" i="9"/>
  <c r="AI60" i="9" s="1"/>
  <c r="AH61" i="9"/>
  <c r="AT52" i="9"/>
  <c r="AU52" i="9" s="1"/>
  <c r="AT53" i="9"/>
  <c r="AU53" i="9" s="1"/>
  <c r="AT54" i="9"/>
  <c r="AU54" i="9" s="1"/>
  <c r="AT55" i="9"/>
  <c r="AU55" i="9" s="1"/>
  <c r="AT56" i="9"/>
  <c r="AU56" i="9" s="1"/>
  <c r="AT57" i="9"/>
  <c r="AU57" i="9" s="1"/>
  <c r="AT58" i="9"/>
  <c r="AU58" i="9" s="1"/>
  <c r="AT59" i="9"/>
  <c r="AU59" i="9" s="1"/>
  <c r="AT60" i="9"/>
  <c r="AU60" i="9" s="1"/>
  <c r="AT61" i="9"/>
  <c r="AN52" i="9"/>
  <c r="AO52" i="9" s="1"/>
  <c r="AN53" i="9"/>
  <c r="AO53" i="9" s="1"/>
  <c r="AN54" i="9"/>
  <c r="AO54" i="9" s="1"/>
  <c r="AN55" i="9"/>
  <c r="AO55" i="9" s="1"/>
  <c r="AN56" i="9"/>
  <c r="AO56" i="9" s="1"/>
  <c r="AN57" i="9"/>
  <c r="AO57" i="9" s="1"/>
  <c r="AN58" i="9"/>
  <c r="AO58" i="9" s="1"/>
  <c r="AN59" i="9"/>
  <c r="AO59" i="9" s="1"/>
  <c r="AN60" i="9"/>
  <c r="AO60" i="9" s="1"/>
  <c r="AN61" i="9"/>
  <c r="AN51" i="9"/>
  <c r="AO51" i="9" s="1"/>
  <c r="AZ52" i="9"/>
  <c r="BA52" i="9" s="1"/>
  <c r="AZ53" i="9"/>
  <c r="BA53" i="9" s="1"/>
  <c r="AZ54" i="9"/>
  <c r="BA54" i="9" s="1"/>
  <c r="AZ55" i="9"/>
  <c r="BA55" i="9" s="1"/>
  <c r="AZ56" i="9"/>
  <c r="BA56" i="9" s="1"/>
  <c r="AZ57" i="9"/>
  <c r="BA57" i="9" s="1"/>
  <c r="AZ58" i="9"/>
  <c r="BA58" i="9" s="1"/>
  <c r="AZ59" i="9"/>
  <c r="BA59" i="9" s="1"/>
  <c r="AZ60" i="9"/>
  <c r="BA60" i="9" s="1"/>
  <c r="AZ61" i="9"/>
  <c r="AZ51" i="9"/>
  <c r="BA51" i="9" s="1"/>
  <c r="BF52" i="9"/>
  <c r="BG52" i="9" s="1"/>
  <c r="BF53" i="9"/>
  <c r="BG53" i="9" s="1"/>
  <c r="BF54" i="9"/>
  <c r="BG54" i="9" s="1"/>
  <c r="BF55" i="9"/>
  <c r="BG55" i="9" s="1"/>
  <c r="BF56" i="9"/>
  <c r="BG56" i="9" s="1"/>
  <c r="BF57" i="9"/>
  <c r="BG57" i="9" s="1"/>
  <c r="BF58" i="9"/>
  <c r="BG58" i="9" s="1"/>
  <c r="BF59" i="9"/>
  <c r="BG59" i="9" s="1"/>
  <c r="BF60" i="9"/>
  <c r="BG60" i="9" s="1"/>
  <c r="BF61" i="9"/>
  <c r="BF51" i="9"/>
  <c r="BG51" i="9" s="1"/>
  <c r="J51" i="9"/>
  <c r="K51" i="9" s="1"/>
  <c r="P53" i="9"/>
  <c r="Q53" i="9" s="1"/>
  <c r="P54" i="9"/>
  <c r="Q54" i="9" s="1"/>
  <c r="P55" i="9"/>
  <c r="Q55" i="9" s="1"/>
  <c r="P56" i="9"/>
  <c r="Q56" i="9" s="1"/>
  <c r="P57" i="9"/>
  <c r="Q57" i="9" s="1"/>
  <c r="P58" i="9"/>
  <c r="Q58" i="9" s="1"/>
  <c r="P59" i="9"/>
  <c r="Q59" i="9" s="1"/>
  <c r="P60" i="9"/>
  <c r="Q60" i="9" s="1"/>
  <c r="P61" i="9"/>
  <c r="J52" i="9"/>
  <c r="K52" i="9" s="1"/>
  <c r="J53" i="9"/>
  <c r="K53" i="9" s="1"/>
  <c r="J54" i="9"/>
  <c r="K54" i="9" s="1"/>
  <c r="J55" i="9"/>
  <c r="K55" i="9" s="1"/>
  <c r="J56" i="9"/>
  <c r="K56" i="9" s="1"/>
  <c r="J57" i="9"/>
  <c r="K57" i="9" s="1"/>
  <c r="J58" i="9"/>
  <c r="K58" i="9" s="1"/>
  <c r="J59" i="9"/>
  <c r="K59" i="9" s="1"/>
  <c r="J60" i="9"/>
  <c r="K60" i="9" s="1"/>
  <c r="J61" i="9"/>
  <c r="D31" i="13" l="1"/>
  <c r="E31" i="13" s="1"/>
  <c r="D30" i="13"/>
  <c r="E30" i="13" s="1"/>
  <c r="D19" i="13"/>
  <c r="E19" i="13" s="1"/>
  <c r="D34" i="13"/>
  <c r="E34" i="13" s="1"/>
  <c r="D33" i="13"/>
  <c r="E33" i="13" s="1"/>
  <c r="D32" i="13"/>
  <c r="E32" i="13" s="1"/>
  <c r="D22" i="13"/>
  <c r="E22" i="13" s="1"/>
  <c r="D26" i="13"/>
  <c r="E26" i="13" s="1"/>
  <c r="D28" i="13"/>
  <c r="E28" i="13" s="1"/>
  <c r="AO58" i="13"/>
  <c r="D20" i="13"/>
  <c r="E20" i="13" s="1"/>
  <c r="K58" i="13"/>
  <c r="D23" i="13"/>
  <c r="E23" i="13" s="1"/>
  <c r="D18" i="13"/>
  <c r="E18" i="13" s="1"/>
  <c r="D24" i="13"/>
  <c r="E24" i="13" s="1"/>
  <c r="D25" i="13"/>
  <c r="E25" i="13" s="1"/>
  <c r="D21" i="13"/>
  <c r="E21" i="13" s="1"/>
  <c r="D27" i="13"/>
  <c r="E27" i="13" s="1"/>
  <c r="BG58" i="13"/>
  <c r="BG65" i="13" s="1"/>
  <c r="AU58" i="13"/>
  <c r="Q58" i="13"/>
  <c r="Q65" i="13" s="1"/>
  <c r="AC58" i="13"/>
  <c r="AI58" i="13"/>
  <c r="W58" i="13"/>
  <c r="W65" i="13" s="1"/>
  <c r="E29" i="13"/>
  <c r="E58" i="13"/>
  <c r="BA58" i="13"/>
  <c r="BA65" i="13" s="1"/>
  <c r="E98" i="13"/>
  <c r="E105" i="13" s="1"/>
  <c r="AA61" i="9"/>
  <c r="E96" i="9"/>
  <c r="E98" i="9" s="1"/>
  <c r="BG61" i="9"/>
  <c r="BG63" i="9" s="1"/>
  <c r="C76" i="9" s="1"/>
  <c r="O61" i="9"/>
  <c r="U61" i="9"/>
  <c r="W61" i="9" s="1"/>
  <c r="W63" i="9" s="1"/>
  <c r="C70" i="9" s="1"/>
  <c r="AG61" i="9"/>
  <c r="AI61" i="9" s="1"/>
  <c r="AI63" i="9" s="1"/>
  <c r="C72" i="9" s="1"/>
  <c r="L10" i="9"/>
  <c r="AM61" i="9"/>
  <c r="AO61" i="9" s="1"/>
  <c r="AO63" i="9" s="1"/>
  <c r="C73" i="9" s="1"/>
  <c r="C37" i="9"/>
  <c r="AS61" i="9"/>
  <c r="AU61" i="9" s="1"/>
  <c r="AU63" i="9" s="1"/>
  <c r="C74" i="9" s="1"/>
  <c r="C61" i="9"/>
  <c r="AY61" i="9"/>
  <c r="BA61" i="9" s="1"/>
  <c r="BA63" i="9" s="1"/>
  <c r="C75" i="9" s="1"/>
  <c r="I61" i="9"/>
  <c r="K61" i="9" s="1"/>
  <c r="K63" i="9" s="1"/>
  <c r="C68" i="9" s="1"/>
  <c r="AC61" i="9"/>
  <c r="AC63" i="9" s="1"/>
  <c r="C71" i="9" s="1"/>
  <c r="B14" i="10"/>
  <c r="B16" i="10" s="1"/>
  <c r="B18" i="10" s="1"/>
  <c r="C14" i="10"/>
  <c r="J23" i="10"/>
  <c r="B54" i="8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E63" i="8"/>
  <c r="E64" i="8" s="1"/>
  <c r="F62" i="8"/>
  <c r="M4" i="10"/>
  <c r="D44" i="8"/>
  <c r="M9" i="10" s="1"/>
  <c r="N4" i="10"/>
  <c r="B36" i="8"/>
  <c r="C45" i="8"/>
  <c r="F7" i="8"/>
  <c r="H7" i="8" s="1"/>
  <c r="E8" i="8"/>
  <c r="E9" i="8" s="1"/>
  <c r="E10" i="8" s="1"/>
  <c r="F10" i="8" s="1"/>
  <c r="H10" i="8" s="1"/>
  <c r="F6" i="8"/>
  <c r="H6" i="8" s="1"/>
  <c r="C23" i="10"/>
  <c r="E23" i="9"/>
  <c r="D26" i="9" s="1"/>
  <c r="E26" i="9" s="1"/>
  <c r="F27" i="5"/>
  <c r="I27" i="5" s="1"/>
  <c r="C26" i="5"/>
  <c r="I23" i="12"/>
  <c r="H23" i="12"/>
  <c r="G23" i="12"/>
  <c r="F23" i="12"/>
  <c r="E23" i="12"/>
  <c r="D23" i="12"/>
  <c r="C23" i="12"/>
  <c r="B23" i="12"/>
  <c r="I25" i="5"/>
  <c r="F17" i="5"/>
  <c r="F18" i="5"/>
  <c r="F19" i="5"/>
  <c r="F20" i="5"/>
  <c r="F21" i="5"/>
  <c r="F22" i="5"/>
  <c r="F23" i="5"/>
  <c r="F16" i="5"/>
  <c r="I26" i="5"/>
  <c r="G33" i="5"/>
  <c r="L4" i="12"/>
  <c r="K4" i="12"/>
  <c r="J4" i="12"/>
  <c r="I4" i="12"/>
  <c r="H4" i="12"/>
  <c r="G4" i="12"/>
  <c r="F4" i="12"/>
  <c r="E4" i="12"/>
  <c r="D4" i="12"/>
  <c r="C4" i="12"/>
  <c r="B4" i="12"/>
  <c r="B12" i="12"/>
  <c r="C50" i="5"/>
  <c r="C12" i="12" s="1"/>
  <c r="C17" i="5"/>
  <c r="C18" i="5"/>
  <c r="C19" i="5"/>
  <c r="C20" i="5"/>
  <c r="C21" i="5"/>
  <c r="C22" i="5"/>
  <c r="C23" i="5"/>
  <c r="C24" i="5"/>
  <c r="E32" i="4"/>
  <c r="C32" i="4"/>
  <c r="P32" i="4"/>
  <c r="P42" i="4"/>
  <c r="P41" i="4"/>
  <c r="P40" i="4"/>
  <c r="P39" i="4"/>
  <c r="P38" i="4"/>
  <c r="P37" i="4"/>
  <c r="P36" i="4"/>
  <c r="P35" i="4"/>
  <c r="P34" i="4"/>
  <c r="P33" i="4"/>
  <c r="C11" i="6"/>
  <c r="C12" i="6" s="1"/>
  <c r="C13" i="6" s="1"/>
  <c r="C14" i="6" s="1"/>
  <c r="C15" i="6" s="1"/>
  <c r="C16" i="6" s="1"/>
  <c r="C17" i="6" s="1"/>
  <c r="C18" i="6" s="1"/>
  <c r="C10" i="6"/>
  <c r="F34" i="5"/>
  <c r="F35" i="5" s="1"/>
  <c r="F36" i="5" s="1"/>
  <c r="F37" i="5" s="1"/>
  <c r="F38" i="5" s="1"/>
  <c r="F39" i="5" s="1"/>
  <c r="F40" i="5" s="1"/>
  <c r="F41" i="5" s="1"/>
  <c r="F42" i="5" s="1"/>
  <c r="F43" i="5" s="1"/>
  <c r="D34" i="5"/>
  <c r="D35" i="5"/>
  <c r="D36" i="5"/>
  <c r="D37" i="5"/>
  <c r="D38" i="5"/>
  <c r="D39" i="5"/>
  <c r="D40" i="5"/>
  <c r="D41" i="5"/>
  <c r="D42" i="5"/>
  <c r="D43" i="5"/>
  <c r="D33" i="5"/>
  <c r="M33" i="4"/>
  <c r="M34" i="4"/>
  <c r="M35" i="4"/>
  <c r="M36" i="4"/>
  <c r="M37" i="4"/>
  <c r="M38" i="4"/>
  <c r="M39" i="4"/>
  <c r="M40" i="4"/>
  <c r="M41" i="4"/>
  <c r="M42" i="4"/>
  <c r="M32" i="4"/>
  <c r="D32" i="5"/>
  <c r="I32" i="5" s="1"/>
  <c r="F16" i="4"/>
  <c r="F17" i="4" s="1"/>
  <c r="F18" i="4" s="1"/>
  <c r="F19" i="4" s="1"/>
  <c r="F20" i="4" s="1"/>
  <c r="F21" i="4" s="1"/>
  <c r="F22" i="4" s="1"/>
  <c r="F23" i="4" s="1"/>
  <c r="F24" i="4" s="1"/>
  <c r="F25" i="4" s="1"/>
  <c r="B25" i="8" s="1"/>
  <c r="B26" i="8" s="1"/>
  <c r="B27" i="8" s="1"/>
  <c r="B28" i="8" s="1"/>
  <c r="B29" i="8" s="1"/>
  <c r="J32" i="4"/>
  <c r="H33" i="4"/>
  <c r="H34" i="4" s="1"/>
  <c r="H35" i="4" s="1"/>
  <c r="H36" i="4" s="1"/>
  <c r="H37" i="4" s="1"/>
  <c r="H38" i="4" s="1"/>
  <c r="H39" i="4" s="1"/>
  <c r="H40" i="4" s="1"/>
  <c r="H41" i="4" s="1"/>
  <c r="H42" i="4" s="1"/>
  <c r="C31" i="4"/>
  <c r="C47" i="4" s="1"/>
  <c r="B31" i="4"/>
  <c r="B32" i="4" s="1"/>
  <c r="D32" i="4" s="1"/>
  <c r="J47" i="4" s="1"/>
  <c r="C16" i="4"/>
  <c r="C17" i="4" s="1"/>
  <c r="C18" i="4" s="1"/>
  <c r="C19" i="4" s="1"/>
  <c r="C20" i="4" s="1"/>
  <c r="C21" i="4" s="1"/>
  <c r="C22" i="4" s="1"/>
  <c r="C23" i="4" s="1"/>
  <c r="C24" i="4" s="1"/>
  <c r="C25" i="4" s="1"/>
  <c r="C16" i="8" s="1"/>
  <c r="C17" i="8" s="1"/>
  <c r="C18" i="8" s="1"/>
  <c r="C19" i="8" s="1"/>
  <c r="C20" i="8" s="1"/>
  <c r="B16" i="4"/>
  <c r="B17" i="4" s="1"/>
  <c r="AU65" i="13" l="1"/>
  <c r="C76" i="13" s="1"/>
  <c r="E65" i="13"/>
  <c r="C69" i="13" s="1"/>
  <c r="AI65" i="13"/>
  <c r="C74" i="13" s="1"/>
  <c r="C78" i="13"/>
  <c r="K65" i="13"/>
  <c r="C70" i="13" s="1"/>
  <c r="C72" i="13"/>
  <c r="AO65" i="13"/>
  <c r="C75" i="13" s="1"/>
  <c r="AC65" i="13"/>
  <c r="C73" i="13" s="1"/>
  <c r="C71" i="13"/>
  <c r="C77" i="13"/>
  <c r="E36" i="13"/>
  <c r="D14" i="10"/>
  <c r="L10" i="12"/>
  <c r="L23" i="12" s="1"/>
  <c r="C46" i="8"/>
  <c r="D45" i="8"/>
  <c r="N9" i="10" s="1"/>
  <c r="B37" i="8"/>
  <c r="O4" i="10"/>
  <c r="F8" i="8"/>
  <c r="H8" i="8" s="1"/>
  <c r="F9" i="8"/>
  <c r="H9" i="8" s="1"/>
  <c r="C5" i="10"/>
  <c r="B19" i="10"/>
  <c r="B22" i="10" s="1"/>
  <c r="B24" i="10" s="1"/>
  <c r="D29" i="9"/>
  <c r="E29" i="9" s="1"/>
  <c r="D27" i="9"/>
  <c r="E27" i="9" s="1"/>
  <c r="D33" i="9"/>
  <c r="E33" i="9" s="1"/>
  <c r="D34" i="9"/>
  <c r="E34" i="9" s="1"/>
  <c r="D31" i="9"/>
  <c r="E31" i="9" s="1"/>
  <c r="D36" i="9"/>
  <c r="E36" i="9" s="1"/>
  <c r="D32" i="9"/>
  <c r="E32" i="9" s="1"/>
  <c r="D28" i="9"/>
  <c r="E28" i="9" s="1"/>
  <c r="D35" i="9"/>
  <c r="E35" i="9" s="1"/>
  <c r="Q61" i="9"/>
  <c r="E61" i="9"/>
  <c r="D30" i="9"/>
  <c r="E30" i="9" s="1"/>
  <c r="D37" i="9"/>
  <c r="B5" i="12"/>
  <c r="C5" i="12"/>
  <c r="J10" i="12"/>
  <c r="J23" i="12" s="1"/>
  <c r="I22" i="5"/>
  <c r="H10" i="12" s="1"/>
  <c r="I17" i="5"/>
  <c r="C10" i="12" s="1"/>
  <c r="I18" i="5"/>
  <c r="D10" i="12" s="1"/>
  <c r="B10" i="12"/>
  <c r="I23" i="5"/>
  <c r="I10" i="12" s="1"/>
  <c r="C33" i="5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I20" i="5"/>
  <c r="F10" i="12" s="1"/>
  <c r="I19" i="5"/>
  <c r="E10" i="12" s="1"/>
  <c r="I21" i="5"/>
  <c r="G10" i="12" s="1"/>
  <c r="C51" i="5"/>
  <c r="D12" i="12" s="1"/>
  <c r="G41" i="5"/>
  <c r="K10" i="12"/>
  <c r="K23" i="12" s="1"/>
  <c r="D66" i="5"/>
  <c r="E66" i="5" s="1"/>
  <c r="C67" i="5"/>
  <c r="H47" i="4"/>
  <c r="F62" i="4" s="1"/>
  <c r="I47" i="4"/>
  <c r="I32" i="4"/>
  <c r="G16" i="4"/>
  <c r="B47" i="4"/>
  <c r="D33" i="4"/>
  <c r="J48" i="4" s="1"/>
  <c r="D47" i="4"/>
  <c r="B18" i="4"/>
  <c r="J34" i="4"/>
  <c r="J33" i="4"/>
  <c r="C33" i="4"/>
  <c r="B33" i="4"/>
  <c r="H48" i="4" s="1"/>
  <c r="E14" i="10" l="1"/>
  <c r="K23" i="10"/>
  <c r="L23" i="10"/>
  <c r="C47" i="8"/>
  <c r="D46" i="8"/>
  <c r="O9" i="10" s="1"/>
  <c r="B38" i="8"/>
  <c r="Q4" i="10" s="1"/>
  <c r="P4" i="10"/>
  <c r="B62" i="4"/>
  <c r="I48" i="4"/>
  <c r="E63" i="9"/>
  <c r="C67" i="9" s="1"/>
  <c r="Q63" i="9"/>
  <c r="C69" i="9" s="1"/>
  <c r="D5" i="10"/>
  <c r="C16" i="10"/>
  <c r="E37" i="9"/>
  <c r="E39" i="9" s="1"/>
  <c r="D5" i="12"/>
  <c r="C52" i="5"/>
  <c r="B9" i="12"/>
  <c r="B14" i="12" s="1"/>
  <c r="C68" i="5"/>
  <c r="D67" i="5"/>
  <c r="E67" i="5" s="1"/>
  <c r="F63" i="4"/>
  <c r="E47" i="4"/>
  <c r="C62" i="4" s="1"/>
  <c r="K47" i="4"/>
  <c r="G62" i="4" s="1"/>
  <c r="I33" i="4"/>
  <c r="G17" i="4"/>
  <c r="E33" i="4"/>
  <c r="B34" i="4"/>
  <c r="H49" i="4" s="1"/>
  <c r="B48" i="4"/>
  <c r="C34" i="4"/>
  <c r="C48" i="4"/>
  <c r="B19" i="4"/>
  <c r="J35" i="4"/>
  <c r="D48" i="4"/>
  <c r="D34" i="4"/>
  <c r="J49" i="4" s="1"/>
  <c r="F14" i="10" l="1"/>
  <c r="C48" i="8"/>
  <c r="D48" i="8" s="1"/>
  <c r="Q9" i="10" s="1"/>
  <c r="D47" i="8"/>
  <c r="P9" i="10" s="1"/>
  <c r="F64" i="4"/>
  <c r="C18" i="10"/>
  <c r="C19" i="10" s="1"/>
  <c r="C22" i="10" s="1"/>
  <c r="C24" i="10" s="1"/>
  <c r="E5" i="10"/>
  <c r="D16" i="10"/>
  <c r="E5" i="12"/>
  <c r="C53" i="5"/>
  <c r="E12" i="12"/>
  <c r="B16" i="12"/>
  <c r="C9" i="12"/>
  <c r="C14" i="12" s="1"/>
  <c r="C16" i="12" s="1"/>
  <c r="C69" i="5"/>
  <c r="D68" i="5"/>
  <c r="E68" i="5" s="1"/>
  <c r="I49" i="4"/>
  <c r="E34" i="4"/>
  <c r="K48" i="4"/>
  <c r="G63" i="4" s="1"/>
  <c r="B63" i="4"/>
  <c r="G18" i="4"/>
  <c r="I34" i="4"/>
  <c r="K49" i="4" s="1"/>
  <c r="E48" i="4"/>
  <c r="C63" i="4" s="1"/>
  <c r="B20" i="4"/>
  <c r="J36" i="4"/>
  <c r="E35" i="4"/>
  <c r="E49" i="4"/>
  <c r="C35" i="4"/>
  <c r="C49" i="4"/>
  <c r="D49" i="4"/>
  <c r="D35" i="4"/>
  <c r="J50" i="4" s="1"/>
  <c r="B35" i="4"/>
  <c r="H50" i="4" s="1"/>
  <c r="B49" i="4"/>
  <c r="G14" i="10" l="1"/>
  <c r="D18" i="10"/>
  <c r="D19" i="10" s="1"/>
  <c r="D22" i="10" s="1"/>
  <c r="D24" i="10" s="1"/>
  <c r="E16" i="10"/>
  <c r="E18" i="10" s="1"/>
  <c r="F5" i="10"/>
  <c r="F5" i="12"/>
  <c r="C54" i="5"/>
  <c r="F12" i="12"/>
  <c r="C18" i="12"/>
  <c r="C19" i="12" s="1"/>
  <c r="C22" i="12" s="1"/>
  <c r="C24" i="12" s="1"/>
  <c r="B18" i="12"/>
  <c r="B19" i="12" s="1"/>
  <c r="B22" i="12" s="1"/>
  <c r="B24" i="12" s="1"/>
  <c r="D9" i="12"/>
  <c r="D14" i="12" s="1"/>
  <c r="D16" i="12" s="1"/>
  <c r="D18" i="12" s="1"/>
  <c r="C70" i="5"/>
  <c r="D69" i="5"/>
  <c r="E69" i="5" s="1"/>
  <c r="F65" i="4"/>
  <c r="I50" i="4"/>
  <c r="C64" i="4"/>
  <c r="B64" i="4"/>
  <c r="G19" i="4"/>
  <c r="I35" i="4"/>
  <c r="K50" i="4"/>
  <c r="G65" i="4" s="1"/>
  <c r="G64" i="4"/>
  <c r="C36" i="4"/>
  <c r="I51" i="4" s="1"/>
  <c r="C50" i="4"/>
  <c r="E36" i="4"/>
  <c r="E50" i="4"/>
  <c r="D50" i="4"/>
  <c r="D36" i="4"/>
  <c r="J51" i="4" s="1"/>
  <c r="B36" i="4"/>
  <c r="H51" i="4" s="1"/>
  <c r="B50" i="4"/>
  <c r="B21" i="4"/>
  <c r="J37" i="4"/>
  <c r="H14" i="10" l="1"/>
  <c r="C65" i="4"/>
  <c r="F16" i="10"/>
  <c r="G5" i="10"/>
  <c r="E19" i="10"/>
  <c r="E22" i="10" s="1"/>
  <c r="E24" i="10" s="1"/>
  <c r="G5" i="12"/>
  <c r="C55" i="5"/>
  <c r="G12" i="12"/>
  <c r="C71" i="5"/>
  <c r="D70" i="5"/>
  <c r="E70" i="5" s="1"/>
  <c r="D19" i="12"/>
  <c r="D22" i="12" s="1"/>
  <c r="D24" i="12" s="1"/>
  <c r="E9" i="12"/>
  <c r="E14" i="12" s="1"/>
  <c r="E16" i="12" s="1"/>
  <c r="E18" i="12" s="1"/>
  <c r="B65" i="4"/>
  <c r="G20" i="4"/>
  <c r="I36" i="4"/>
  <c r="K51" i="4"/>
  <c r="G66" i="4" s="1"/>
  <c r="F66" i="4"/>
  <c r="B37" i="4"/>
  <c r="H52" i="4" s="1"/>
  <c r="B51" i="4"/>
  <c r="D51" i="4"/>
  <c r="B66" i="4" s="1"/>
  <c r="D37" i="4"/>
  <c r="J52" i="4" s="1"/>
  <c r="E37" i="4"/>
  <c r="E51" i="4"/>
  <c r="B22" i="4"/>
  <c r="J38" i="4"/>
  <c r="C37" i="4"/>
  <c r="C51" i="4"/>
  <c r="I14" i="10" l="1"/>
  <c r="I52" i="4"/>
  <c r="G16" i="10"/>
  <c r="G18" i="10" s="1"/>
  <c r="H5" i="10"/>
  <c r="F18" i="10"/>
  <c r="F19" i="10" s="1"/>
  <c r="F22" i="10" s="1"/>
  <c r="F24" i="10" s="1"/>
  <c r="H5" i="12"/>
  <c r="C56" i="5"/>
  <c r="H12" i="12"/>
  <c r="F9" i="12"/>
  <c r="F14" i="12" s="1"/>
  <c r="F16" i="12" s="1"/>
  <c r="F18" i="12" s="1"/>
  <c r="C72" i="5"/>
  <c r="D71" i="5"/>
  <c r="E71" i="5" s="1"/>
  <c r="E19" i="12"/>
  <c r="E22" i="12" s="1"/>
  <c r="E24" i="12" s="1"/>
  <c r="G21" i="4"/>
  <c r="I37" i="4"/>
  <c r="C66" i="4"/>
  <c r="K52" i="4"/>
  <c r="G67" i="4" s="1"/>
  <c r="F67" i="4"/>
  <c r="C38" i="4"/>
  <c r="C52" i="4"/>
  <c r="B38" i="4"/>
  <c r="H53" i="4" s="1"/>
  <c r="B52" i="4"/>
  <c r="B23" i="4"/>
  <c r="J39" i="4"/>
  <c r="E38" i="4"/>
  <c r="E52" i="4"/>
  <c r="D38" i="4"/>
  <c r="J53" i="4" s="1"/>
  <c r="D52" i="4"/>
  <c r="J14" i="10" l="1"/>
  <c r="H16" i="10"/>
  <c r="H18" i="10" s="1"/>
  <c r="I5" i="10"/>
  <c r="G19" i="10"/>
  <c r="G22" i="10" s="1"/>
  <c r="G24" i="10" s="1"/>
  <c r="I5" i="12"/>
  <c r="C57" i="5"/>
  <c r="I12" i="12"/>
  <c r="G9" i="12"/>
  <c r="G14" i="12" s="1"/>
  <c r="G16" i="12" s="1"/>
  <c r="G18" i="12" s="1"/>
  <c r="C73" i="5"/>
  <c r="D72" i="5"/>
  <c r="E72" i="5" s="1"/>
  <c r="F19" i="12"/>
  <c r="F22" i="12" s="1"/>
  <c r="F24" i="12" s="1"/>
  <c r="I53" i="4"/>
  <c r="B67" i="4"/>
  <c r="C67" i="4"/>
  <c r="F68" i="4"/>
  <c r="G22" i="4"/>
  <c r="I38" i="4"/>
  <c r="K53" i="4" s="1"/>
  <c r="G68" i="4" s="1"/>
  <c r="D39" i="4"/>
  <c r="J54" i="4" s="1"/>
  <c r="D53" i="4"/>
  <c r="C39" i="4"/>
  <c r="C53" i="4"/>
  <c r="E39" i="4"/>
  <c r="E53" i="4"/>
  <c r="B24" i="4"/>
  <c r="J40" i="4"/>
  <c r="B39" i="4"/>
  <c r="H54" i="4" s="1"/>
  <c r="B53" i="4"/>
  <c r="K14" i="10" l="1"/>
  <c r="C68" i="4"/>
  <c r="I16" i="10"/>
  <c r="I18" i="10" s="1"/>
  <c r="H19" i="10"/>
  <c r="H22" i="10" s="1"/>
  <c r="H24" i="10" s="1"/>
  <c r="J5" i="10"/>
  <c r="J5" i="12"/>
  <c r="C58" i="5"/>
  <c r="J12" i="12"/>
  <c r="H9" i="12"/>
  <c r="H14" i="12" s="1"/>
  <c r="H16" i="12" s="1"/>
  <c r="H18" i="12" s="1"/>
  <c r="G19" i="12"/>
  <c r="G22" i="12" s="1"/>
  <c r="G24" i="12" s="1"/>
  <c r="C74" i="5"/>
  <c r="D73" i="5"/>
  <c r="E73" i="5" s="1"/>
  <c r="I54" i="4"/>
  <c r="F69" i="4"/>
  <c r="G23" i="4"/>
  <c r="I39" i="4"/>
  <c r="B68" i="4"/>
  <c r="K54" i="4"/>
  <c r="G69" i="4" s="1"/>
  <c r="B40" i="4"/>
  <c r="H55" i="4" s="1"/>
  <c r="B54" i="4"/>
  <c r="D40" i="4"/>
  <c r="J55" i="4" s="1"/>
  <c r="D54" i="4"/>
  <c r="B25" i="4"/>
  <c r="J41" i="4"/>
  <c r="E40" i="4"/>
  <c r="E54" i="4"/>
  <c r="C40" i="4"/>
  <c r="I55" i="4" s="1"/>
  <c r="C54" i="4"/>
  <c r="J42" i="4" l="1"/>
  <c r="B16" i="8"/>
  <c r="B17" i="8" s="1"/>
  <c r="B18" i="8" s="1"/>
  <c r="B19" i="8" s="1"/>
  <c r="B20" i="8" s="1"/>
  <c r="K5" i="10"/>
  <c r="L5" i="10"/>
  <c r="J16" i="10"/>
  <c r="J18" i="10" s="1"/>
  <c r="I19" i="10"/>
  <c r="I22" i="10" s="1"/>
  <c r="I24" i="10" s="1"/>
  <c r="K5" i="12"/>
  <c r="L5" i="12"/>
  <c r="C59" i="5"/>
  <c r="L12" i="12" s="1"/>
  <c r="K12" i="12"/>
  <c r="I9" i="12"/>
  <c r="I14" i="12" s="1"/>
  <c r="I16" i="12" s="1"/>
  <c r="I18" i="12" s="1"/>
  <c r="H19" i="12"/>
  <c r="H22" i="12" s="1"/>
  <c r="H24" i="12" s="1"/>
  <c r="C75" i="5"/>
  <c r="D74" i="5"/>
  <c r="E74" i="5" s="1"/>
  <c r="B69" i="4"/>
  <c r="F70" i="4"/>
  <c r="C69" i="4"/>
  <c r="G24" i="4"/>
  <c r="I40" i="4"/>
  <c r="K55" i="4" s="1"/>
  <c r="G70" i="4" s="1"/>
  <c r="B41" i="4"/>
  <c r="H56" i="4" s="1"/>
  <c r="B55" i="4"/>
  <c r="C41" i="4"/>
  <c r="C55" i="4"/>
  <c r="E41" i="4"/>
  <c r="E55" i="4"/>
  <c r="D41" i="4"/>
  <c r="J56" i="4" s="1"/>
  <c r="D55" i="4"/>
  <c r="L14" i="10" l="1"/>
  <c r="L16" i="10" s="1"/>
  <c r="L18" i="10" s="1"/>
  <c r="I56" i="4"/>
  <c r="J19" i="10"/>
  <c r="J22" i="10" s="1"/>
  <c r="J24" i="10" s="1"/>
  <c r="K16" i="10"/>
  <c r="J9" i="12"/>
  <c r="J14" i="12" s="1"/>
  <c r="J16" i="12" s="1"/>
  <c r="J18" i="12" s="1"/>
  <c r="C76" i="5"/>
  <c r="D76" i="5" s="1"/>
  <c r="E76" i="5" s="1"/>
  <c r="L9" i="12" s="1"/>
  <c r="L14" i="12" s="1"/>
  <c r="L16" i="12" s="1"/>
  <c r="D75" i="5"/>
  <c r="E75" i="5" s="1"/>
  <c r="I19" i="12"/>
  <c r="I22" i="12" s="1"/>
  <c r="I24" i="12" s="1"/>
  <c r="B70" i="4"/>
  <c r="F71" i="4"/>
  <c r="G25" i="4"/>
  <c r="I41" i="4"/>
  <c r="K56" i="4" s="1"/>
  <c r="G71" i="4" s="1"/>
  <c r="C70" i="4"/>
  <c r="B42" i="4"/>
  <c r="B56" i="4"/>
  <c r="D42" i="4"/>
  <c r="D56" i="4"/>
  <c r="E42" i="4"/>
  <c r="E56" i="4"/>
  <c r="C42" i="4"/>
  <c r="C56" i="4"/>
  <c r="M14" i="10" l="1"/>
  <c r="N11" i="10"/>
  <c r="I42" i="4"/>
  <c r="C25" i="8"/>
  <c r="K18" i="10"/>
  <c r="K19" i="10" s="1"/>
  <c r="K22" i="10" s="1"/>
  <c r="K24" i="10" s="1"/>
  <c r="L19" i="10"/>
  <c r="L22" i="10" s="1"/>
  <c r="L24" i="10" s="1"/>
  <c r="L18" i="12"/>
  <c r="L19" i="12" s="1"/>
  <c r="L22" i="12" s="1"/>
  <c r="L24" i="12" s="1"/>
  <c r="J19" i="12"/>
  <c r="J22" i="12" s="1"/>
  <c r="J24" i="12" s="1"/>
  <c r="K9" i="12"/>
  <c r="K14" i="12" s="1"/>
  <c r="K16" i="12" s="1"/>
  <c r="K18" i="12" s="1"/>
  <c r="C71" i="4"/>
  <c r="B57" i="4"/>
  <c r="H57" i="4"/>
  <c r="C57" i="4"/>
  <c r="I57" i="4"/>
  <c r="E57" i="4"/>
  <c r="C72" i="4" s="1"/>
  <c r="K57" i="4"/>
  <c r="G72" i="4" s="1"/>
  <c r="B71" i="4"/>
  <c r="D57" i="4"/>
  <c r="J57" i="4"/>
  <c r="N14" i="10" l="1"/>
  <c r="O11" i="10"/>
  <c r="B72" i="4"/>
  <c r="C26" i="8"/>
  <c r="M3" i="10"/>
  <c r="M5" i="10" s="1"/>
  <c r="M16" i="10" s="1"/>
  <c r="K19" i="12"/>
  <c r="K22" i="12" s="1"/>
  <c r="K24" i="12" s="1"/>
  <c r="F72" i="4"/>
  <c r="P11" i="10" l="1"/>
  <c r="O14" i="10"/>
  <c r="M18" i="10"/>
  <c r="M19" i="10" s="1"/>
  <c r="M22" i="10" s="1"/>
  <c r="M24" i="10" s="1"/>
  <c r="C27" i="8"/>
  <c r="N3" i="10"/>
  <c r="N5" i="10" s="1"/>
  <c r="N16" i="10" s="1"/>
  <c r="Q11" i="10" l="1"/>
  <c r="Q14" i="10" s="1"/>
  <c r="P14" i="10"/>
  <c r="N18" i="10"/>
  <c r="N19" i="10" s="1"/>
  <c r="N22" i="10" s="1"/>
  <c r="N24" i="10" s="1"/>
  <c r="C28" i="8"/>
  <c r="O3" i="10"/>
  <c r="O5" i="10" s="1"/>
  <c r="O16" i="10" s="1"/>
  <c r="O18" i="10" s="1"/>
  <c r="O19" i="10" s="1"/>
  <c r="O22" i="10" s="1"/>
  <c r="O24" i="10" s="1"/>
  <c r="C29" i="8" l="1"/>
  <c r="P3" i="10"/>
  <c r="P5" i="10" s="1"/>
  <c r="P16" i="10" s="1"/>
  <c r="Q3" i="10" l="1"/>
  <c r="Q5" i="10" s="1"/>
  <c r="Q16" i="10" s="1"/>
  <c r="P18" i="10"/>
  <c r="P19" i="10" s="1"/>
  <c r="P22" i="10" s="1"/>
  <c r="P24" i="10" s="1"/>
  <c r="Q18" i="10" l="1"/>
  <c r="Q19" i="10" s="1"/>
  <c r="Q22" i="10" s="1"/>
  <c r="Q24" i="10" s="1"/>
  <c r="B65" i="8"/>
  <c r="B66" i="8" s="1"/>
  <c r="B67" i="8" s="1"/>
  <c r="B68" i="8" s="1"/>
  <c r="B69" i="8" s="1"/>
</calcChain>
</file>

<file path=xl/sharedStrings.xml><?xml version="1.0" encoding="utf-8"?>
<sst xmlns="http://schemas.openxmlformats.org/spreadsheetml/2006/main" count="453" uniqueCount="106">
  <si>
    <t>R and D expenses</t>
  </si>
  <si>
    <t>International</t>
  </si>
  <si>
    <t>Working Capital</t>
  </si>
  <si>
    <t>Inventory</t>
  </si>
  <si>
    <t>Side Benfits</t>
  </si>
  <si>
    <t>Cost of Capital</t>
  </si>
  <si>
    <t>Cash Flows per Assessment Data given</t>
  </si>
  <si>
    <t>Expenses:</t>
  </si>
  <si>
    <t>(in millions)</t>
  </si>
  <si>
    <t>Year</t>
  </si>
  <si>
    <t>Cashflow</t>
  </si>
  <si>
    <t xml:space="preserve">Year </t>
  </si>
  <si>
    <t>Usage</t>
  </si>
  <si>
    <t>Data on Participation</t>
  </si>
  <si>
    <t>Data</t>
  </si>
  <si>
    <t>With Alternium</t>
  </si>
  <si>
    <t>US &amp; Russia</t>
  </si>
  <si>
    <t>nil</t>
  </si>
  <si>
    <t>New Plan which provides access to Alternium in isolation</t>
  </si>
  <si>
    <t>Cost of Servicing</t>
  </si>
  <si>
    <t>-</t>
  </si>
  <si>
    <t>Each participant</t>
  </si>
  <si>
    <t>Inflation</t>
  </si>
  <si>
    <t>Cost of Servicing each</t>
  </si>
  <si>
    <t>Without  Alternium</t>
  </si>
  <si>
    <t>Total Cost of Service Incurred</t>
  </si>
  <si>
    <t>Contents of this sheet:</t>
  </si>
  <si>
    <t>Participation</t>
  </si>
  <si>
    <t>Cost of Servicing (each)</t>
  </si>
  <si>
    <t>Pricing (each)</t>
  </si>
  <si>
    <t>Pricing</t>
  </si>
  <si>
    <t>Total Pricing</t>
  </si>
  <si>
    <t>Price each</t>
  </si>
  <si>
    <t xml:space="preserve"> </t>
  </si>
  <si>
    <t xml:space="preserve">  Alternium</t>
  </si>
  <si>
    <t>Cost of Servicing and Pricing (total) FOR Alternium</t>
  </si>
  <si>
    <t>No.of Servers needed to buy</t>
  </si>
  <si>
    <t>Participants in total</t>
  </si>
  <si>
    <t>Total Participants of server</t>
  </si>
  <si>
    <t>Cost of server</t>
  </si>
  <si>
    <t>Nil</t>
  </si>
  <si>
    <t>(Data used from SHEET 1 Calculations)</t>
  </si>
  <si>
    <t>Server Facilities and Costs (for Alternium specific)</t>
  </si>
  <si>
    <t>G&amp;A expenses</t>
  </si>
  <si>
    <t>Advertising Costs</t>
  </si>
  <si>
    <t>Total Cashflow</t>
  </si>
  <si>
    <t xml:space="preserve">Without </t>
  </si>
  <si>
    <t>With Alterium</t>
  </si>
  <si>
    <t>for Alterium</t>
  </si>
  <si>
    <t>Covers all expenses</t>
  </si>
  <si>
    <t>(Taken from SHEET 1)</t>
  </si>
  <si>
    <t>Total Expenses</t>
  </si>
  <si>
    <t>(in millions and arrears)</t>
  </si>
  <si>
    <t>Earnings:</t>
  </si>
  <si>
    <t>Covers all earnings</t>
  </si>
  <si>
    <t>Exchange Charges</t>
  </si>
  <si>
    <t>Total</t>
  </si>
  <si>
    <t>Total International Participants for Alternium</t>
  </si>
  <si>
    <t xml:space="preserve">Total International Participants </t>
  </si>
  <si>
    <t>Profit</t>
  </si>
  <si>
    <t>G&amp;A Expenses</t>
  </si>
  <si>
    <t>Servicing Costs</t>
  </si>
  <si>
    <t>Expenditure</t>
  </si>
  <si>
    <t>Less:</t>
  </si>
  <si>
    <t>Particulars</t>
  </si>
  <si>
    <t>Tax Rate</t>
  </si>
  <si>
    <t>Tax Value</t>
  </si>
  <si>
    <t>Profit after Tax</t>
  </si>
  <si>
    <t>Advertising</t>
  </si>
  <si>
    <t>Side Benefits</t>
  </si>
  <si>
    <t>Total Revenue</t>
  </si>
  <si>
    <t>Introductory Costs(Depreciation-Infrastructure)</t>
  </si>
  <si>
    <t>Depreciation-Server</t>
  </si>
  <si>
    <t>Total Depreciation</t>
  </si>
  <si>
    <t>Depreciation Infra and Server</t>
  </si>
  <si>
    <t>Incremental cash flow</t>
  </si>
  <si>
    <t>Profit after tax</t>
  </si>
  <si>
    <t>add: Depreciation - Non Cash</t>
  </si>
  <si>
    <t>Cash flow</t>
  </si>
  <si>
    <t>Book Value</t>
  </si>
  <si>
    <t>Values from  Question 1 Answer</t>
  </si>
  <si>
    <t>Total Book Value</t>
  </si>
  <si>
    <t>As the project is terminated at the end of 10th year</t>
  </si>
  <si>
    <t>NPV for the Project:</t>
  </si>
  <si>
    <t>NPV</t>
  </si>
  <si>
    <t>v</t>
  </si>
  <si>
    <t>No.of Years</t>
  </si>
  <si>
    <t>v^n</t>
  </si>
  <si>
    <t>PV</t>
  </si>
  <si>
    <t>IRR for the Project:</t>
  </si>
  <si>
    <t>IRR</t>
  </si>
  <si>
    <t>NPV Profile</t>
  </si>
  <si>
    <t>Rate of Interest</t>
  </si>
  <si>
    <t xml:space="preserve">Alternium </t>
  </si>
  <si>
    <t>International isolated pool</t>
  </si>
  <si>
    <t>Deprecistion Total</t>
  </si>
  <si>
    <t>Recevables</t>
  </si>
  <si>
    <t>Payable</t>
  </si>
  <si>
    <t>Total Receivables</t>
  </si>
  <si>
    <t>Net Working Capital</t>
  </si>
  <si>
    <t>Book Value=</t>
  </si>
  <si>
    <t>Values from  Question 3 Answer Part 1</t>
  </si>
  <si>
    <t>Revenue (Exchange Charges)</t>
  </si>
  <si>
    <t>Revenue( Exchange Charges)</t>
  </si>
  <si>
    <t>Receivables</t>
  </si>
  <si>
    <t>Incremental Cash 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</si>
</sst>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00000"/>
    <numFmt numFmtId="166" formatCode="0.0000"/>
    <numFmt numFmtId="167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gradientFill type="path">
        <stop position="0">
          <color theme="0"/>
        </stop>
        <stop position="1">
          <color rgb="FFFFFF00"/>
        </stop>
      </gradientFill>
    </fill>
    <fill>
      <patternFill patternType="solid">
        <fgColor theme="5" tint="0.399945066682943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ED2E3"/>
        <bgColor indexed="64"/>
      </patternFill>
    </fill>
    <fill>
      <patternFill patternType="solid">
        <fgColor rgb="FFB8F7F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Border="1"/>
    <xf numFmtId="9" fontId="0" fillId="0" borderId="0" xfId="0" applyNumberFormat="1"/>
    <xf numFmtId="10" fontId="0" fillId="0" borderId="0" xfId="0" applyNumberFormat="1"/>
    <xf numFmtId="0" fontId="0" fillId="0" borderId="0" xfId="0" applyBorder="1"/>
    <xf numFmtId="0" fontId="0" fillId="2" borderId="0" xfId="0" applyFill="1" applyAlignment="1"/>
    <xf numFmtId="0" fontId="0" fillId="0" borderId="0" xfId="0" applyFill="1" applyBorder="1" applyAlignment="1"/>
    <xf numFmtId="2" fontId="0" fillId="0" borderId="1" xfId="0" applyNumberFormat="1" applyBorder="1"/>
    <xf numFmtId="0" fontId="0" fillId="0" borderId="3" xfId="0" applyBorder="1"/>
    <xf numFmtId="2" fontId="0" fillId="0" borderId="3" xfId="0" applyNumberFormat="1" applyBorder="1"/>
    <xf numFmtId="0" fontId="0" fillId="0" borderId="7" xfId="0" applyBorder="1"/>
    <xf numFmtId="0" fontId="0" fillId="9" borderId="8" xfId="0" applyFill="1" applyBorder="1"/>
    <xf numFmtId="0" fontId="0" fillId="0" borderId="9" xfId="0" applyFill="1" applyBorder="1"/>
    <xf numFmtId="0" fontId="0" fillId="8" borderId="10" xfId="0" applyFill="1" applyBorder="1"/>
    <xf numFmtId="0" fontId="0" fillId="0" borderId="11" xfId="0" applyBorder="1"/>
    <xf numFmtId="0" fontId="0" fillId="9" borderId="13" xfId="0" applyFill="1" applyBorder="1"/>
    <xf numFmtId="0" fontId="0" fillId="9" borderId="7" xfId="0" applyFill="1" applyBorder="1"/>
    <xf numFmtId="0" fontId="0" fillId="0" borderId="14" xfId="0" applyBorder="1"/>
    <xf numFmtId="2" fontId="0" fillId="0" borderId="15" xfId="0" applyNumberFormat="1" applyFill="1" applyBorder="1"/>
    <xf numFmtId="0" fontId="0" fillId="0" borderId="16" xfId="0" applyBorder="1"/>
    <xf numFmtId="2" fontId="0" fillId="0" borderId="17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21" xfId="0" applyBorder="1"/>
    <xf numFmtId="0" fontId="0" fillId="9" borderId="22" xfId="0" applyFill="1" applyBorder="1"/>
    <xf numFmtId="0" fontId="0" fillId="0" borderId="23" xfId="0" applyFill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18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7" xfId="0" applyBorder="1"/>
    <xf numFmtId="0" fontId="0" fillId="0" borderId="9" xfId="0" applyBorder="1"/>
    <xf numFmtId="10" fontId="0" fillId="0" borderId="34" xfId="0" applyNumberFormat="1" applyBorder="1"/>
    <xf numFmtId="0" fontId="0" fillId="0" borderId="27" xfId="0" applyFill="1" applyBorder="1"/>
    <xf numFmtId="0" fontId="0" fillId="0" borderId="15" xfId="0" applyBorder="1"/>
    <xf numFmtId="0" fontId="0" fillId="0" borderId="7" xfId="0" applyFill="1" applyBorder="1"/>
    <xf numFmtId="166" fontId="0" fillId="0" borderId="1" xfId="0" applyNumberFormat="1" applyBorder="1"/>
    <xf numFmtId="166" fontId="0" fillId="0" borderId="17" xfId="0" applyNumberFormat="1" applyBorder="1"/>
    <xf numFmtId="165" fontId="0" fillId="0" borderId="17" xfId="0" applyNumberFormat="1" applyBorder="1"/>
    <xf numFmtId="2" fontId="0" fillId="11" borderId="0" xfId="0" applyNumberFormat="1" applyFill="1"/>
    <xf numFmtId="0" fontId="0" fillId="12" borderId="32" xfId="0" applyFill="1" applyBorder="1"/>
    <xf numFmtId="0" fontId="2" fillId="0" borderId="14" xfId="0" applyFont="1" applyBorder="1"/>
    <xf numFmtId="2" fontId="2" fillId="0" borderId="3" xfId="0" applyNumberFormat="1" applyFont="1" applyBorder="1"/>
    <xf numFmtId="0" fontId="2" fillId="0" borderId="16" xfId="0" applyFont="1" applyBorder="1"/>
    <xf numFmtId="2" fontId="2" fillId="0" borderId="1" xfId="0" applyNumberFormat="1" applyFont="1" applyBorder="1"/>
    <xf numFmtId="0" fontId="0" fillId="13" borderId="0" xfId="0" applyFill="1"/>
    <xf numFmtId="166" fontId="0" fillId="0" borderId="5" xfId="0" applyNumberFormat="1" applyBorder="1"/>
    <xf numFmtId="166" fontId="0" fillId="0" borderId="6" xfId="0" applyNumberFormat="1" applyBorder="1"/>
    <xf numFmtId="166" fontId="0" fillId="0" borderId="8" xfId="0" applyNumberFormat="1" applyBorder="1"/>
    <xf numFmtId="166" fontId="0" fillId="0" borderId="9" xfId="0" applyNumberFormat="1" applyBorder="1"/>
    <xf numFmtId="166" fontId="0" fillId="0" borderId="12" xfId="0" applyNumberFormat="1" applyBorder="1"/>
    <xf numFmtId="166" fontId="0" fillId="0" borderId="2" xfId="0" applyNumberFormat="1" applyBorder="1"/>
    <xf numFmtId="166" fontId="0" fillId="0" borderId="13" xfId="0" applyNumberFormat="1" applyBorder="1"/>
    <xf numFmtId="0" fontId="0" fillId="0" borderId="29" xfId="0" applyFill="1" applyBorder="1"/>
    <xf numFmtId="0" fontId="0" fillId="0" borderId="18" xfId="0" applyFill="1" applyBorder="1"/>
    <xf numFmtId="0" fontId="0" fillId="14" borderId="32" xfId="0" applyFill="1" applyBorder="1"/>
    <xf numFmtId="0" fontId="0" fillId="14" borderId="34" xfId="0" applyFill="1" applyBorder="1"/>
    <xf numFmtId="0" fontId="0" fillId="14" borderId="36" xfId="0" applyFill="1" applyBorder="1"/>
    <xf numFmtId="165" fontId="0" fillId="0" borderId="6" xfId="0" applyNumberFormat="1" applyBorder="1"/>
    <xf numFmtId="165" fontId="0" fillId="0" borderId="9" xfId="0" applyNumberFormat="1" applyBorder="1"/>
    <xf numFmtId="0" fontId="0" fillId="13" borderId="0" xfId="0" applyFill="1" applyBorder="1"/>
    <xf numFmtId="165" fontId="0" fillId="0" borderId="15" xfId="0" applyNumberFormat="1" applyBorder="1"/>
    <xf numFmtId="0" fontId="0" fillId="8" borderId="39" xfId="0" applyFill="1" applyBorder="1"/>
    <xf numFmtId="0" fontId="0" fillId="0" borderId="40" xfId="0" applyBorder="1"/>
    <xf numFmtId="2" fontId="0" fillId="0" borderId="5" xfId="0" applyNumberFormat="1" applyBorder="1"/>
    <xf numFmtId="2" fontId="0" fillId="0" borderId="37" xfId="0" applyNumberFormat="1" applyBorder="1"/>
    <xf numFmtId="165" fontId="0" fillId="0" borderId="31" xfId="0" applyNumberFormat="1" applyBorder="1"/>
    <xf numFmtId="0" fontId="0" fillId="7" borderId="4" xfId="0" applyFill="1" applyBorder="1" applyAlignment="1"/>
    <xf numFmtId="0" fontId="0" fillId="7" borderId="16" xfId="0" applyFill="1" applyBorder="1" applyAlignment="1"/>
    <xf numFmtId="0" fontId="0" fillId="7" borderId="7" xfId="0" applyFill="1" applyBorder="1" applyAlignment="1"/>
    <xf numFmtId="2" fontId="0" fillId="7" borderId="40" xfId="0" applyNumberFormat="1" applyFill="1" applyBorder="1"/>
    <xf numFmtId="0" fontId="0" fillId="0" borderId="0" xfId="0" applyFill="1" applyAlignment="1"/>
    <xf numFmtId="0" fontId="0" fillId="0" borderId="1" xfId="0" applyBorder="1" applyAlignment="1"/>
    <xf numFmtId="0" fontId="2" fillId="0" borderId="1" xfId="0" applyFont="1" applyBorder="1"/>
    <xf numFmtId="0" fontId="0" fillId="16" borderId="1" xfId="0" applyFill="1" applyBorder="1"/>
    <xf numFmtId="2" fontId="0" fillId="16" borderId="1" xfId="0" applyNumberFormat="1" applyFill="1" applyBorder="1"/>
    <xf numFmtId="0" fontId="3" fillId="16" borderId="1" xfId="0" applyFont="1" applyFill="1" applyBorder="1"/>
    <xf numFmtId="2" fontId="3" fillId="16" borderId="1" xfId="0" applyNumberFormat="1" applyFont="1" applyFill="1" applyBorder="1"/>
    <xf numFmtId="0" fontId="0" fillId="10" borderId="39" xfId="0" applyFill="1" applyBorder="1"/>
    <xf numFmtId="2" fontId="0" fillId="0" borderId="0" xfId="0" applyNumberFormat="1" applyFill="1" applyBorder="1"/>
    <xf numFmtId="2" fontId="3" fillId="0" borderId="0" xfId="0" applyNumberFormat="1" applyFont="1" applyFill="1" applyBorder="1"/>
    <xf numFmtId="0" fontId="0" fillId="15" borderId="1" xfId="0" applyFill="1" applyBorder="1"/>
    <xf numFmtId="0" fontId="0" fillId="0" borderId="1" xfId="0" applyBorder="1" applyAlignment="1">
      <alignment horizontal="center"/>
    </xf>
    <xf numFmtId="0" fontId="0" fillId="14" borderId="33" xfId="0" applyFill="1" applyBorder="1"/>
    <xf numFmtId="0" fontId="0" fillId="17" borderId="1" xfId="0" applyFill="1" applyBorder="1"/>
    <xf numFmtId="2" fontId="0" fillId="17" borderId="1" xfId="0" applyNumberFormat="1" applyFill="1" applyBorder="1"/>
    <xf numFmtId="2" fontId="3" fillId="17" borderId="1" xfId="0" applyNumberFormat="1" applyFont="1" applyFill="1" applyBorder="1"/>
    <xf numFmtId="0" fontId="0" fillId="17" borderId="1" xfId="0" applyFill="1" applyBorder="1" applyAlignment="1"/>
    <xf numFmtId="2" fontId="2" fillId="17" borderId="1" xfId="0" applyNumberFormat="1" applyFont="1" applyFill="1" applyBorder="1"/>
    <xf numFmtId="2" fontId="0" fillId="0" borderId="0" xfId="0" applyNumberFormat="1"/>
    <xf numFmtId="165" fontId="0" fillId="17" borderId="1" xfId="0" applyNumberFormat="1" applyFill="1" applyBorder="1"/>
    <xf numFmtId="0" fontId="0" fillId="18" borderId="0" xfId="0" applyFill="1"/>
    <xf numFmtId="0" fontId="0" fillId="14" borderId="32" xfId="0" applyFill="1" applyBorder="1" applyAlignment="1"/>
    <xf numFmtId="0" fontId="0" fillId="14" borderId="36" xfId="0" applyFill="1" applyBorder="1" applyAlignment="1"/>
    <xf numFmtId="0" fontId="0" fillId="14" borderId="41" xfId="0" applyFill="1" applyBorder="1"/>
    <xf numFmtId="0" fontId="0" fillId="0" borderId="1" xfId="0" applyBorder="1" applyAlignment="1">
      <alignment horizontal="center"/>
    </xf>
    <xf numFmtId="0" fontId="0" fillId="5" borderId="0" xfId="0" applyFill="1"/>
    <xf numFmtId="2" fontId="0" fillId="0" borderId="0" xfId="0" applyNumberFormat="1" applyBorder="1"/>
    <xf numFmtId="0" fontId="0" fillId="0" borderId="1" xfId="0" applyFill="1" applyBorder="1"/>
    <xf numFmtId="2" fontId="0" fillId="17" borderId="43" xfId="0" applyNumberFormat="1" applyFill="1" applyBorder="1"/>
    <xf numFmtId="0" fontId="0" fillId="17" borderId="0" xfId="0" applyFill="1"/>
    <xf numFmtId="2" fontId="0" fillId="17" borderId="0" xfId="0" applyNumberFormat="1" applyFill="1"/>
    <xf numFmtId="0" fontId="0" fillId="10" borderId="0" xfId="0" applyFill="1"/>
    <xf numFmtId="2" fontId="0" fillId="10" borderId="0" xfId="0" applyNumberFormat="1" applyFill="1"/>
    <xf numFmtId="2" fontId="0" fillId="0" borderId="1" xfId="0" applyNumberFormat="1" applyFill="1" applyBorder="1"/>
    <xf numFmtId="0" fontId="0" fillId="10" borderId="1" xfId="0" applyFill="1" applyBorder="1"/>
    <xf numFmtId="2" fontId="0" fillId="10" borderId="1" xfId="0" applyNumberFormat="1" applyFill="1" applyBorder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9" fontId="0" fillId="0" borderId="1" xfId="0" applyNumberFormat="1" applyFill="1" applyBorder="1" applyAlignment="1">
      <alignment horizontal="right"/>
    </xf>
    <xf numFmtId="2" fontId="0" fillId="3" borderId="1" xfId="0" applyNumberFormat="1" applyFill="1" applyBorder="1"/>
    <xf numFmtId="2" fontId="0" fillId="20" borderId="1" xfId="0" applyNumberFormat="1" applyFill="1" applyBorder="1"/>
    <xf numFmtId="167" fontId="0" fillId="0" borderId="1" xfId="0" applyNumberFormat="1" applyBorder="1"/>
    <xf numFmtId="9" fontId="0" fillId="0" borderId="1" xfId="1" applyFont="1" applyFill="1" applyBorder="1" applyAlignment="1">
      <alignment horizontal="right"/>
    </xf>
    <xf numFmtId="0" fontId="0" fillId="0" borderId="0" xfId="0" applyFill="1"/>
    <xf numFmtId="10" fontId="0" fillId="0" borderId="0" xfId="1" applyNumberFormat="1" applyFont="1"/>
    <xf numFmtId="2" fontId="0" fillId="0" borderId="0" xfId="0" applyNumberFormat="1" applyFill="1"/>
    <xf numFmtId="10" fontId="0" fillId="0" borderId="1" xfId="0" applyNumberFormat="1" applyFill="1" applyBorder="1" applyAlignment="1">
      <alignment horizontal="right"/>
    </xf>
    <xf numFmtId="9" fontId="0" fillId="0" borderId="0" xfId="0" applyNumberFormat="1" applyFill="1" applyBorder="1" applyAlignment="1">
      <alignment horizontal="right"/>
    </xf>
    <xf numFmtId="0" fontId="0" fillId="0" borderId="45" xfId="0" applyFill="1" applyBorder="1"/>
    <xf numFmtId="0" fontId="0" fillId="0" borderId="22" xfId="0" applyFill="1" applyBorder="1"/>
    <xf numFmtId="0" fontId="0" fillId="0" borderId="42" xfId="0" applyFill="1" applyBorder="1"/>
    <xf numFmtId="0" fontId="0" fillId="0" borderId="4" xfId="0" applyFill="1" applyBorder="1"/>
    <xf numFmtId="2" fontId="0" fillId="0" borderId="5" xfId="0" applyNumberFormat="1" applyFill="1" applyBorder="1"/>
    <xf numFmtId="0" fontId="0" fillId="0" borderId="5" xfId="0" applyFill="1" applyBorder="1"/>
    <xf numFmtId="2" fontId="0" fillId="0" borderId="6" xfId="0" applyNumberFormat="1" applyBorder="1"/>
    <xf numFmtId="0" fontId="0" fillId="0" borderId="16" xfId="0" applyFill="1" applyBorder="1"/>
    <xf numFmtId="2" fontId="0" fillId="0" borderId="8" xfId="0" applyNumberFormat="1" applyFill="1" applyBorder="1"/>
    <xf numFmtId="0" fontId="0" fillId="0" borderId="46" xfId="0" applyBorder="1"/>
    <xf numFmtId="165" fontId="0" fillId="0" borderId="0" xfId="0" applyNumberFormat="1" applyBorder="1"/>
    <xf numFmtId="0" fontId="0" fillId="21" borderId="0" xfId="0" applyFill="1"/>
    <xf numFmtId="0" fontId="0" fillId="21" borderId="1" xfId="0" applyFill="1" applyBorder="1"/>
    <xf numFmtId="0" fontId="1" fillId="0" borderId="0" xfId="0" applyFont="1" applyFill="1" applyBorder="1" applyAlignment="1">
      <alignment horizontal="center"/>
    </xf>
    <xf numFmtId="0" fontId="0" fillId="9" borderId="42" xfId="0" applyFill="1" applyBorder="1"/>
    <xf numFmtId="0" fontId="1" fillId="8" borderId="1" xfId="0" applyFont="1" applyFill="1" applyBorder="1" applyAlignment="1">
      <alignment horizontal="center"/>
    </xf>
    <xf numFmtId="0" fontId="1" fillId="8" borderId="47" xfId="0" applyFont="1" applyFill="1" applyBorder="1" applyAlignment="1"/>
    <xf numFmtId="0" fontId="1" fillId="0" borderId="0" xfId="0" applyFont="1" applyFill="1" applyBorder="1" applyAlignment="1"/>
    <xf numFmtId="0" fontId="0" fillId="5" borderId="0" xfId="0" applyFill="1" applyAlignment="1"/>
    <xf numFmtId="2" fontId="0" fillId="8" borderId="1" xfId="0" applyNumberFormat="1" applyFill="1" applyBorder="1"/>
    <xf numFmtId="0" fontId="0" fillId="21" borderId="1" xfId="0" applyFill="1" applyBorder="1" applyAlignment="1">
      <alignment horizontal="center"/>
    </xf>
    <xf numFmtId="9" fontId="0" fillId="21" borderId="1" xfId="0" applyNumberFormat="1" applyFill="1" applyBorder="1" applyAlignment="1">
      <alignment horizontal="right"/>
    </xf>
    <xf numFmtId="9" fontId="0" fillId="21" borderId="1" xfId="0" applyNumberFormat="1" applyFill="1" applyBorder="1"/>
    <xf numFmtId="2" fontId="0" fillId="21" borderId="1" xfId="0" applyNumberFormat="1" applyFill="1" applyBorder="1"/>
    <xf numFmtId="0" fontId="0" fillId="0" borderId="43" xfId="0" applyFill="1" applyBorder="1"/>
    <xf numFmtId="0" fontId="0" fillId="0" borderId="0" xfId="0" applyFill="1" applyBorder="1" applyAlignment="1">
      <alignment wrapText="1"/>
    </xf>
    <xf numFmtId="2" fontId="0" fillId="21" borderId="0" xfId="0" applyNumberFormat="1" applyFill="1"/>
    <xf numFmtId="0" fontId="1" fillId="21" borderId="0" xfId="0" applyFont="1" applyFill="1"/>
    <xf numFmtId="0" fontId="0" fillId="5" borderId="0" xfId="0" applyFill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6" borderId="35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0" fontId="1" fillId="8" borderId="12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0" fillId="7" borderId="5" xfId="0" applyFill="1" applyBorder="1" applyAlignment="1">
      <alignment horizontal="left"/>
    </xf>
    <xf numFmtId="0" fontId="0" fillId="7" borderId="6" xfId="0" applyFill="1" applyBorder="1" applyAlignment="1">
      <alignment horizontal="left"/>
    </xf>
    <xf numFmtId="0" fontId="0" fillId="7" borderId="1" xfId="0" applyFill="1" applyBorder="1" applyAlignment="1">
      <alignment horizontal="left"/>
    </xf>
    <xf numFmtId="0" fontId="0" fillId="7" borderId="17" xfId="0" applyFill="1" applyBorder="1" applyAlignment="1">
      <alignment horizontal="left"/>
    </xf>
    <xf numFmtId="0" fontId="0" fillId="7" borderId="8" xfId="0" applyFill="1" applyBorder="1" applyAlignment="1">
      <alignment horizontal="left"/>
    </xf>
    <xf numFmtId="0" fontId="0" fillId="7" borderId="9" xfId="0" applyFill="1" applyBorder="1" applyAlignment="1">
      <alignment horizontal="left"/>
    </xf>
    <xf numFmtId="0" fontId="0" fillId="14" borderId="32" xfId="0" applyFill="1" applyBorder="1" applyAlignment="1">
      <alignment horizontal="center"/>
    </xf>
    <xf numFmtId="0" fontId="0" fillId="14" borderId="33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14" borderId="19" xfId="0" applyFill="1" applyBorder="1" applyAlignment="1">
      <alignment horizontal="center"/>
    </xf>
    <xf numFmtId="0" fontId="0" fillId="14" borderId="2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19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8" borderId="44" xfId="0" applyFill="1" applyBorder="1" applyAlignment="1">
      <alignment horizontal="center"/>
    </xf>
    <xf numFmtId="0" fontId="0" fillId="8" borderId="1" xfId="0" applyFill="1" applyBorder="1"/>
    <xf numFmtId="0" fontId="1" fillId="0" borderId="1" xfId="0" applyFont="1" applyFill="1" applyBorder="1" applyAlignment="1">
      <alignment horizontal="center"/>
    </xf>
    <xf numFmtId="165" fontId="0" fillId="8" borderId="1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CCFF"/>
      <color rgb="FFCCFF66"/>
      <color rgb="FFB8F7FE"/>
      <color rgb="FFFED2E3"/>
      <color rgb="FFE7BCEA"/>
      <color rgb="FFFEACCB"/>
      <color rgb="FFE3FFAB"/>
      <color rgb="FFFF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</a:t>
            </a:r>
            <a:r>
              <a:rPr lang="en-IN" baseline="0"/>
              <a:t> Cost of Service Incurred by Alternium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US &amp;Russia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1'!$A$62:$A$72</c:f>
              <c:numCache>
                <c:formatCode>General</c:formatCode>
                <c:ptCount val="1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</c:numCache>
            </c:numRef>
          </c:cat>
          <c:val>
            <c:numRef>
              <c:f>'SHEET 1'!$B$62:$B$72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13-41AF-B740-C4AE6AD4DD57}"/>
            </c:ext>
          </c:extLst>
        </c:ser>
        <c:ser>
          <c:idx val="1"/>
          <c:order val="1"/>
          <c:tx>
            <c:v>International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'SHEET 1'!$A$62:$A$72</c:f>
              <c:numCache>
                <c:formatCode>General</c:formatCode>
                <c:ptCount val="1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</c:numCache>
            </c:numRef>
          </c:cat>
          <c:val>
            <c:numRef>
              <c:f>'SHEET 1'!$C$62:$C$72</c:f>
              <c:numCache>
                <c:formatCode>0.000000</c:formatCode>
                <c:ptCount val="11"/>
                <c:pt idx="0">
                  <c:v>108</c:v>
                </c:pt>
                <c:pt idx="1">
                  <c:v>152.4858048000001</c:v>
                </c:pt>
                <c:pt idx="2">
                  <c:v>205.22335188095985</c:v>
                </c:pt>
                <c:pt idx="3">
                  <c:v>267.46922106590546</c:v>
                </c:pt>
                <c:pt idx="4">
                  <c:v>340.65478695495267</c:v>
                </c:pt>
                <c:pt idx="5">
                  <c:v>426.40931490734874</c:v>
                </c:pt>
                <c:pt idx="6">
                  <c:v>526.58601056137968</c:v>
                </c:pt>
                <c:pt idx="7">
                  <c:v>643.29139226606048</c:v>
                </c:pt>
                <c:pt idx="8">
                  <c:v>778.9184012631631</c:v>
                </c:pt>
                <c:pt idx="9">
                  <c:v>936.18371545340688</c:v>
                </c:pt>
                <c:pt idx="10">
                  <c:v>1118.1697897734384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13-41AF-B740-C4AE6AD4D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9842432"/>
        <c:axId val="979846176"/>
      </c:barChart>
      <c:catAx>
        <c:axId val="97984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846176"/>
        <c:crosses val="autoZero"/>
        <c:auto val="1"/>
        <c:lblAlgn val="ctr"/>
        <c:lblOffset val="100"/>
        <c:noMultiLvlLbl val="0"/>
      </c:catAx>
      <c:valAx>
        <c:axId val="97984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84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Total</a:t>
            </a:r>
            <a:r>
              <a:rPr lang="en-IN" baseline="0"/>
              <a:t> Pricing of Alternium</a:t>
            </a:r>
            <a:endParaRPr lang="en-IN"/>
          </a:p>
        </c:rich>
      </c:tx>
      <c:layout>
        <c:manualLayout>
          <c:xMode val="edge"/>
          <c:yMode val="edge"/>
          <c:x val="0.2103052075605315"/>
          <c:y val="4.040405647182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1'!$F$61</c:f>
              <c:strCache>
                <c:ptCount val="1"/>
                <c:pt idx="0">
                  <c:v>US &amp; Russia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'SHEET 1'!$E$62:$E$72</c:f>
              <c:numCache>
                <c:formatCode>General</c:formatCode>
                <c:ptCount val="1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</c:numCache>
            </c:numRef>
          </c:cat>
          <c:val>
            <c:numRef>
              <c:f>'SHEET 1'!$F$62:$F$72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33-4F24-BA48-8556224850A4}"/>
            </c:ext>
          </c:extLst>
        </c:ser>
        <c:ser>
          <c:idx val="1"/>
          <c:order val="1"/>
          <c:tx>
            <c:strRef>
              <c:f>'SHEET 1'!$G$61</c:f>
              <c:strCache>
                <c:ptCount val="1"/>
                <c:pt idx="0">
                  <c:v>International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'SHEET 1'!$E$62:$E$72</c:f>
              <c:numCache>
                <c:formatCode>General</c:formatCode>
                <c:ptCount val="11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</c:numCache>
            </c:numRef>
          </c:cat>
          <c:val>
            <c:numRef>
              <c:f>'SHEET 1'!$G$62:$G$72</c:f>
              <c:numCache>
                <c:formatCode>0.000000</c:formatCode>
                <c:ptCount val="11"/>
                <c:pt idx="0">
                  <c:v>250</c:v>
                </c:pt>
                <c:pt idx="1">
                  <c:v>345.08375999999998</c:v>
                </c:pt>
                <c:pt idx="2">
                  <c:v>457.59001075199922</c:v>
                </c:pt>
                <c:pt idx="3">
                  <c:v>590.15888381550303</c:v>
                </c:pt>
                <c:pt idx="4">
                  <c:v>745.79680765211015</c:v>
                </c:pt>
                <c:pt idx="5">
                  <c:v>927.92483023018121</c:v>
                </c:pt>
                <c:pt idx="6">
                  <c:v>1140.4331146482073</c:v>
                </c:pt>
                <c:pt idx="7">
                  <c:v>1387.7423792121062</c:v>
                </c:pt>
                <c:pt idx="8">
                  <c:v>1674.8731483029533</c:v>
                </c:pt>
                <c:pt idx="9">
                  <c:v>2007.5237868128788</c:v>
                </c:pt>
                <c:pt idx="10">
                  <c:v>2392.1584102988891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33-4F24-BA48-855622485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6417792"/>
        <c:axId val="1226416960"/>
      </c:barChart>
      <c:catAx>
        <c:axId val="122641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416960"/>
        <c:crosses val="autoZero"/>
        <c:auto val="1"/>
        <c:lblAlgn val="ctr"/>
        <c:lblOffset val="100"/>
        <c:noMultiLvlLbl val="0"/>
      </c:catAx>
      <c:valAx>
        <c:axId val="122641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417792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150331215856208"/>
          <c:y val="0.88652067387285205"/>
          <c:w val="0.4437781370135564"/>
          <c:h val="8.5227903136842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Participation</a:t>
            </a:r>
            <a:r>
              <a:rPr lang="en-IN" baseline="0"/>
              <a:t> expected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5054870630617"/>
          <c:y val="0.13757770632368704"/>
          <c:w val="0.85352285779843839"/>
          <c:h val="0.57754124785848715"/>
        </c:manualLayout>
      </c:layout>
      <c:lineChart>
        <c:grouping val="standard"/>
        <c:varyColors val="0"/>
        <c:ser>
          <c:idx val="0"/>
          <c:order val="0"/>
          <c:tx>
            <c:strRef>
              <c:f>'SHEET 1'!$B$28:$B$29</c:f>
              <c:strCache>
                <c:ptCount val="2"/>
                <c:pt idx="0">
                  <c:v>Without  Alternium</c:v>
                </c:pt>
                <c:pt idx="1">
                  <c:v>US &amp; Russia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1'!$A$30:$A$42</c:f>
              <c:numCache>
                <c:formatCode>General</c:formatCode>
                <c:ptCount val="1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</c:numCache>
            </c:numRef>
          </c:cat>
          <c:val>
            <c:numRef>
              <c:f>'SHEET 1'!$B$30:$B$42</c:f>
              <c:numCache>
                <c:formatCode>0.00</c:formatCode>
                <c:ptCount val="13"/>
                <c:pt idx="0">
                  <c:v>45</c:v>
                </c:pt>
                <c:pt idx="1">
                  <c:v>47.25</c:v>
                </c:pt>
                <c:pt idx="2">
                  <c:v>49.612499999999997</c:v>
                </c:pt>
                <c:pt idx="3">
                  <c:v>52.093125000000001</c:v>
                </c:pt>
                <c:pt idx="4">
                  <c:v>54.697781249999998</c:v>
                </c:pt>
                <c:pt idx="5">
                  <c:v>57.432670312500001</c:v>
                </c:pt>
                <c:pt idx="6">
                  <c:v>60.304303828125001</c:v>
                </c:pt>
                <c:pt idx="7">
                  <c:v>63.319519019531249</c:v>
                </c:pt>
                <c:pt idx="8">
                  <c:v>66.485494970507816</c:v>
                </c:pt>
                <c:pt idx="9">
                  <c:v>69.809769719033213</c:v>
                </c:pt>
                <c:pt idx="10">
                  <c:v>73.300258204984871</c:v>
                </c:pt>
                <c:pt idx="11">
                  <c:v>76.965271115234117</c:v>
                </c:pt>
                <c:pt idx="12">
                  <c:v>80.813534670995821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3-4989-A06F-77C25C4FFCCE}"/>
            </c:ext>
          </c:extLst>
        </c:ser>
        <c:ser>
          <c:idx val="1"/>
          <c:order val="1"/>
          <c:tx>
            <c:strRef>
              <c:f>'SHEET 1'!$C$28:$C$29</c:f>
              <c:strCache>
                <c:ptCount val="2"/>
                <c:pt idx="0">
                  <c:v>Without  Alternium</c:v>
                </c:pt>
                <c:pt idx="1">
                  <c:v>International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1'!$A$30:$A$42</c:f>
              <c:numCache>
                <c:formatCode>General</c:formatCode>
                <c:ptCount val="1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</c:numCache>
            </c:numRef>
          </c:cat>
          <c:val>
            <c:numRef>
              <c:f>'SHEET 1'!$C$30:$C$42</c:f>
              <c:numCache>
                <c:formatCode>0.00</c:formatCode>
                <c:ptCount val="13"/>
                <c:pt idx="0">
                  <c:v>30</c:v>
                </c:pt>
                <c:pt idx="1">
                  <c:v>32.4</c:v>
                </c:pt>
                <c:pt idx="2">
                  <c:v>34.991999999999997</c:v>
                </c:pt>
                <c:pt idx="3">
                  <c:v>37.791359999999997</c:v>
                </c:pt>
                <c:pt idx="4">
                  <c:v>40.8146688</c:v>
                </c:pt>
                <c:pt idx="5">
                  <c:v>44.079842303999996</c:v>
                </c:pt>
                <c:pt idx="6">
                  <c:v>47.606229688319999</c:v>
                </c:pt>
                <c:pt idx="7">
                  <c:v>51.414728063385596</c:v>
                </c:pt>
                <c:pt idx="8">
                  <c:v>55.527906308456444</c:v>
                </c:pt>
                <c:pt idx="9">
                  <c:v>59.970138813132962</c:v>
                </c:pt>
                <c:pt idx="10">
                  <c:v>64.767749918183597</c:v>
                </c:pt>
                <c:pt idx="11">
                  <c:v>69.949169911638279</c:v>
                </c:pt>
                <c:pt idx="12">
                  <c:v>75.54510350456934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3-4989-A06F-77C25C4FFCCE}"/>
            </c:ext>
          </c:extLst>
        </c:ser>
        <c:ser>
          <c:idx val="2"/>
          <c:order val="2"/>
          <c:tx>
            <c:strRef>
              <c:f>'SHEET 1'!$D$28:$D$29</c:f>
              <c:strCache>
                <c:ptCount val="2"/>
                <c:pt idx="0">
                  <c:v>With Alternium</c:v>
                </c:pt>
                <c:pt idx="1">
                  <c:v>US &amp; Russia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1'!$A$30:$A$42</c:f>
              <c:numCache>
                <c:formatCode>General</c:formatCode>
                <c:ptCount val="1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</c:numCache>
            </c:numRef>
          </c:cat>
          <c:val>
            <c:numRef>
              <c:f>'SHEET 1'!$D$30:$D$42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49.612499999999997</c:v>
                </c:pt>
                <c:pt idx="3">
                  <c:v>52.093125000000001</c:v>
                </c:pt>
                <c:pt idx="4">
                  <c:v>54.697781249999998</c:v>
                </c:pt>
                <c:pt idx="5">
                  <c:v>57.432670312500001</c:v>
                </c:pt>
                <c:pt idx="6">
                  <c:v>60.304303828125001</c:v>
                </c:pt>
                <c:pt idx="7">
                  <c:v>63.319519019531249</c:v>
                </c:pt>
                <c:pt idx="8">
                  <c:v>66.485494970507816</c:v>
                </c:pt>
                <c:pt idx="9">
                  <c:v>69.809769719033213</c:v>
                </c:pt>
                <c:pt idx="10">
                  <c:v>73.300258204984871</c:v>
                </c:pt>
                <c:pt idx="11">
                  <c:v>76.965271115234117</c:v>
                </c:pt>
                <c:pt idx="12">
                  <c:v>80.813534670995821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E3-4989-A06F-77C25C4FFCCE}"/>
            </c:ext>
          </c:extLst>
        </c:ser>
        <c:ser>
          <c:idx val="3"/>
          <c:order val="3"/>
          <c:tx>
            <c:strRef>
              <c:f>'SHEET 1'!$E$28:$E$29</c:f>
              <c:strCache>
                <c:ptCount val="2"/>
                <c:pt idx="0">
                  <c:v>With Alternium</c:v>
                </c:pt>
                <c:pt idx="1">
                  <c:v>International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'SHEET 1'!$A$30:$A$42</c:f>
              <c:numCache>
                <c:formatCode>General</c:formatCode>
                <c:ptCount val="1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</c:numCache>
            </c:numRef>
          </c:cat>
          <c:val>
            <c:numRef>
              <c:f>'SHEET 1'!$E$30:$E$42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34.991999999999997</c:v>
                </c:pt>
                <c:pt idx="3">
                  <c:v>38.491199999999999</c:v>
                </c:pt>
                <c:pt idx="4">
                  <c:v>42.340319999999998</c:v>
                </c:pt>
                <c:pt idx="5">
                  <c:v>46.574351999999998</c:v>
                </c:pt>
                <c:pt idx="6">
                  <c:v>51.231787199999999</c:v>
                </c:pt>
                <c:pt idx="7">
                  <c:v>56.354965919999998</c:v>
                </c:pt>
                <c:pt idx="8">
                  <c:v>61.990462512000001</c:v>
                </c:pt>
                <c:pt idx="9">
                  <c:v>68.189508763199996</c:v>
                </c:pt>
                <c:pt idx="10">
                  <c:v>75.008459639519998</c:v>
                </c:pt>
                <c:pt idx="11">
                  <c:v>82.509305603472001</c:v>
                </c:pt>
                <c:pt idx="12">
                  <c:v>90.760236163819201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E3-4989-A06F-77C25C4FF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6902128"/>
        <c:axId val="1236905456"/>
      </c:lineChart>
      <c:catAx>
        <c:axId val="123690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905456"/>
        <c:crosses val="autoZero"/>
        <c:auto val="1"/>
        <c:lblAlgn val="ctr"/>
        <c:lblOffset val="100"/>
        <c:noMultiLvlLbl val="0"/>
      </c:catAx>
      <c:valAx>
        <c:axId val="123690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90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NPV</a:t>
            </a:r>
            <a:r>
              <a:rPr lang="en-US" baseline="0"/>
              <a:t> Profile</a:t>
            </a:r>
            <a:endParaRPr lang="en-US"/>
          </a:p>
        </c:rich>
      </c:tx>
      <c:layout>
        <c:manualLayout>
          <c:xMode val="edge"/>
          <c:yMode val="edge"/>
          <c:x val="0.45536111111111116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'Question 2 Answer'!$C$66</c:f>
              <c:strCache>
                <c:ptCount val="1"/>
                <c:pt idx="0">
                  <c:v>NPV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'Question 2 Answer'!$B$67:$B$76</c:f>
              <c:numCache>
                <c:formatCode>0%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</c:numCache>
            </c:numRef>
          </c:xVal>
          <c:yVal>
            <c:numRef>
              <c:f>'Question 2 Answer'!$C$67:$C$76</c:f>
              <c:numCache>
                <c:formatCode>0.00</c:formatCode>
                <c:ptCount val="10"/>
                <c:pt idx="0">
                  <c:v>1615.2987374803265</c:v>
                </c:pt>
                <c:pt idx="1">
                  <c:v>994.74760762219239</c:v>
                </c:pt>
                <c:pt idx="2">
                  <c:v>721.70962760987322</c:v>
                </c:pt>
                <c:pt idx="3">
                  <c:v>510.97162619942537</c:v>
                </c:pt>
                <c:pt idx="4">
                  <c:v>347.40804862976785</c:v>
                </c:pt>
                <c:pt idx="5">
                  <c:v>219.80977195082733</c:v>
                </c:pt>
                <c:pt idx="6">
                  <c:v>119.80890947250333</c:v>
                </c:pt>
                <c:pt idx="7">
                  <c:v>41.114724495828511</c:v>
                </c:pt>
                <c:pt idx="8">
                  <c:v>-21.033739887944776</c:v>
                </c:pt>
                <c:pt idx="9">
                  <c:v>-70.262806338076047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13-4874-83A4-F12003DBD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64991"/>
        <c:axId val="1591366239"/>
      </c:scatterChart>
      <c:valAx>
        <c:axId val="1591364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1366239"/>
        <c:crosses val="autoZero"/>
        <c:crossBetween val="midCat"/>
      </c:valAx>
      <c:valAx>
        <c:axId val="159136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1364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NPV</a:t>
            </a:r>
            <a:r>
              <a:rPr lang="en-US" baseline="0"/>
              <a:t> Profile</a:t>
            </a:r>
            <a:endParaRPr lang="en-US"/>
          </a:p>
        </c:rich>
      </c:tx>
      <c:layout>
        <c:manualLayout>
          <c:xMode val="edge"/>
          <c:yMode val="edge"/>
          <c:x val="0.45536111111111116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'Question 2 Answer'!$C$66</c:f>
              <c:strCache>
                <c:ptCount val="1"/>
                <c:pt idx="0">
                  <c:v>NPV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'Question 2 Answer'!$B$67:$B$76</c:f>
              <c:numCache>
                <c:formatCode>0%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7.4999999999999997E-2</c:v>
                </c:pt>
                <c:pt idx="3">
                  <c:v>0.1</c:v>
                </c:pt>
                <c:pt idx="4">
                  <c:v>0.125</c:v>
                </c:pt>
                <c:pt idx="5">
                  <c:v>0.15</c:v>
                </c:pt>
                <c:pt idx="6">
                  <c:v>0.17499999999999999</c:v>
                </c:pt>
                <c:pt idx="7">
                  <c:v>0.2</c:v>
                </c:pt>
                <c:pt idx="8">
                  <c:v>0.22500000000000001</c:v>
                </c:pt>
                <c:pt idx="9">
                  <c:v>0.25</c:v>
                </c:pt>
              </c:numCache>
            </c:numRef>
          </c:xVal>
          <c:yVal>
            <c:numRef>
              <c:f>'Question 2 Answer'!$C$67:$C$76</c:f>
              <c:numCache>
                <c:formatCode>0.00</c:formatCode>
                <c:ptCount val="10"/>
                <c:pt idx="0">
                  <c:v>1615.2987374803265</c:v>
                </c:pt>
                <c:pt idx="1">
                  <c:v>994.74760762219239</c:v>
                </c:pt>
                <c:pt idx="2">
                  <c:v>721.70962760987322</c:v>
                </c:pt>
                <c:pt idx="3">
                  <c:v>510.97162619942537</c:v>
                </c:pt>
                <c:pt idx="4">
                  <c:v>347.40804862976785</c:v>
                </c:pt>
                <c:pt idx="5">
                  <c:v>219.80977195082733</c:v>
                </c:pt>
                <c:pt idx="6">
                  <c:v>119.80890947250333</c:v>
                </c:pt>
                <c:pt idx="7">
                  <c:v>41.114724495828511</c:v>
                </c:pt>
                <c:pt idx="8">
                  <c:v>-21.033739887944776</c:v>
                </c:pt>
                <c:pt idx="9">
                  <c:v>-70.262806338076047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AB-46EC-95BC-6D6F224E6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64991"/>
        <c:axId val="1591366239"/>
      </c:scatterChart>
      <c:valAx>
        <c:axId val="1591364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1366239"/>
        <c:crosses val="autoZero"/>
        <c:crossBetween val="midCat"/>
      </c:valAx>
      <c:valAx>
        <c:axId val="159136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1364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74</xdr:row>
      <xdr:rowOff>0</xdr:rowOff>
    </xdr:from>
    <xdr:to>
      <xdr:col>4</xdr:col>
      <xdr:colOff>0</xdr:colOff>
      <xdr:row>87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3056AC-616C-4DF3-8CC1-BA7415B63D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4763</xdr:colOff>
      <xdr:row>74</xdr:row>
      <xdr:rowOff>0</xdr:rowOff>
    </xdr:from>
    <xdr:to>
      <xdr:col>7</xdr:col>
      <xdr:colOff>685800</xdr:colOff>
      <xdr:row>87</xdr:row>
      <xdr:rowOff>38099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2F0EB1-64F2-42F2-B460-EE61848AE0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119061</xdr:colOff>
      <xdr:row>87</xdr:row>
      <xdr:rowOff>28574</xdr:rowOff>
    </xdr:from>
    <xdr:to>
      <xdr:col>6</xdr:col>
      <xdr:colOff>533400</xdr:colOff>
      <xdr:row>102</xdr:row>
      <xdr:rowOff>133349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42F0AD-CFE8-4B25-BDB5-11E93C8D54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64</xdr:row>
      <xdr:rowOff>38100</xdr:rowOff>
    </xdr:from>
    <xdr:to>
      <xdr:col>10</xdr:col>
      <xdr:colOff>123825</xdr:colOff>
      <xdr:row>78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220283-A64A-49A8-83D2-1FFB287542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66</xdr:row>
      <xdr:rowOff>38100</xdr:rowOff>
    </xdr:from>
    <xdr:to>
      <xdr:col>10</xdr:col>
      <xdr:colOff>123825</xdr:colOff>
      <xdr:row>80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C50BF6-8C70-4DAD-B81B-342601407B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E53C5-306C-47E0-9A6A-FC02541DDB0C}">
  <dimension ref="A1:P104"/>
  <sheetViews>
    <sheetView topLeftCell="A55" workbookViewId="0">
      <selection activeCell="A62" sqref="A62:C72"/>
    </sheetView>
  </sheetViews>
  <sheetFormatPr defaultRowHeight="15" x14ac:dyDescent="0.25"/>
  <cols>
    <col min="2" max="2" width="17.140625" customWidth="1"/>
    <col min="3" max="3" width="17.85546875" customWidth="1"/>
    <col min="4" max="4" width="14" customWidth="1"/>
    <col min="5" max="5" width="15" customWidth="1"/>
    <col min="6" max="6" width="13.140625" customWidth="1"/>
    <col min="7" max="7" width="18.5703125" customWidth="1"/>
    <col min="8" max="8" width="13.85546875" customWidth="1"/>
    <col min="9" max="9" width="12.28515625" customWidth="1"/>
    <col min="10" max="10" width="20.42578125" customWidth="1"/>
    <col min="11" max="11" width="12.5703125" customWidth="1"/>
    <col min="12" max="12" width="12.140625" customWidth="1"/>
    <col min="13" max="13" width="29.7109375" customWidth="1"/>
    <col min="15" max="15" width="12.7109375" customWidth="1"/>
    <col min="16" max="16" width="17.85546875" customWidth="1"/>
  </cols>
  <sheetData>
    <row r="1" spans="1:12" ht="15.75" thickBot="1" x14ac:dyDescent="0.3">
      <c r="A1" s="67" t="s">
        <v>26</v>
      </c>
      <c r="B1" s="69"/>
      <c r="C1" s="79">
        <v>1</v>
      </c>
      <c r="D1" s="173" t="s">
        <v>28</v>
      </c>
      <c r="E1" s="173"/>
      <c r="F1" s="174"/>
    </row>
    <row r="2" spans="1:12" x14ac:dyDescent="0.25">
      <c r="A2" s="45"/>
      <c r="B2" s="1"/>
      <c r="C2" s="80">
        <v>2</v>
      </c>
      <c r="D2" s="175" t="s">
        <v>29</v>
      </c>
      <c r="E2" s="175"/>
      <c r="F2" s="176"/>
    </row>
    <row r="3" spans="1:12" x14ac:dyDescent="0.25">
      <c r="A3" s="45"/>
      <c r="B3" s="1"/>
      <c r="C3" s="80">
        <v>3</v>
      </c>
      <c r="D3" s="175" t="s">
        <v>27</v>
      </c>
      <c r="E3" s="175"/>
      <c r="F3" s="176"/>
      <c r="H3" s="8"/>
      <c r="I3" s="8"/>
      <c r="J3" s="8"/>
    </row>
    <row r="4" spans="1:12" ht="15.75" thickBot="1" x14ac:dyDescent="0.3">
      <c r="A4" s="65"/>
      <c r="B4" s="66"/>
      <c r="C4" s="81">
        <v>4</v>
      </c>
      <c r="D4" s="177" t="s">
        <v>35</v>
      </c>
      <c r="E4" s="177"/>
      <c r="F4" s="178"/>
      <c r="H4" s="8"/>
      <c r="I4" s="8"/>
      <c r="J4" s="8"/>
    </row>
    <row r="5" spans="1:12" x14ac:dyDescent="0.25">
      <c r="H5" s="8"/>
      <c r="I5" s="8"/>
      <c r="J5" s="8"/>
    </row>
    <row r="6" spans="1:12" x14ac:dyDescent="0.25">
      <c r="A6" s="51" t="s">
        <v>14</v>
      </c>
      <c r="D6" s="1"/>
      <c r="E6" s="1"/>
      <c r="F6" s="8"/>
      <c r="G6" s="8"/>
      <c r="H6" s="8"/>
      <c r="I6" s="8"/>
      <c r="J6" s="8"/>
    </row>
    <row r="7" spans="1:12" ht="15.75" thickBot="1" x14ac:dyDescent="0.3">
      <c r="D7" s="1"/>
      <c r="E7" s="1"/>
      <c r="F7" s="8"/>
      <c r="G7" s="8"/>
    </row>
    <row r="8" spans="1:12" ht="15.75" thickBot="1" x14ac:dyDescent="0.3">
      <c r="A8" s="52" t="s">
        <v>22</v>
      </c>
      <c r="B8" s="44">
        <v>1.4999999999999999E-2</v>
      </c>
      <c r="D8" s="1"/>
      <c r="E8" s="1"/>
      <c r="F8" s="8"/>
      <c r="G8" s="8"/>
      <c r="J8" s="8"/>
      <c r="K8" s="8"/>
      <c r="L8" s="8"/>
    </row>
    <row r="9" spans="1:12" ht="15.75" thickBot="1" x14ac:dyDescent="0.3">
      <c r="D9" s="1"/>
      <c r="E9" s="1"/>
      <c r="F9" s="8"/>
      <c r="G9" s="8"/>
      <c r="J9" s="8"/>
      <c r="K9" s="8"/>
      <c r="L9" s="8"/>
    </row>
    <row r="10" spans="1:12" ht="15.75" thickBot="1" x14ac:dyDescent="0.3">
      <c r="A10" s="162" t="s">
        <v>19</v>
      </c>
      <c r="B10" s="163"/>
      <c r="C10" s="57"/>
      <c r="D10" s="1"/>
      <c r="E10" s="162" t="s">
        <v>30</v>
      </c>
      <c r="F10" s="163"/>
      <c r="G10" s="57"/>
      <c r="J10" s="8"/>
      <c r="K10" s="8"/>
      <c r="L10" s="8"/>
    </row>
    <row r="11" spans="1:12" x14ac:dyDescent="0.25">
      <c r="A11" s="160" t="s">
        <v>21</v>
      </c>
      <c r="B11" s="167"/>
      <c r="C11" s="161"/>
      <c r="E11" s="160" t="s">
        <v>21</v>
      </c>
      <c r="F11" s="167"/>
      <c r="G11" s="161"/>
      <c r="J11" s="8"/>
      <c r="K11" s="8"/>
      <c r="L11" s="8"/>
    </row>
    <row r="12" spans="1:12" ht="15.75" thickBot="1" x14ac:dyDescent="0.3">
      <c r="A12" s="47" t="s">
        <v>9</v>
      </c>
      <c r="B12" s="13" t="s">
        <v>16</v>
      </c>
      <c r="C12" s="14" t="s">
        <v>1</v>
      </c>
      <c r="E12" s="47" t="s">
        <v>9</v>
      </c>
      <c r="F12" s="13" t="s">
        <v>16</v>
      </c>
      <c r="G12" s="14" t="s">
        <v>1</v>
      </c>
    </row>
    <row r="13" spans="1:12" x14ac:dyDescent="0.25">
      <c r="A13" s="19"/>
      <c r="B13" s="10"/>
      <c r="C13" s="46"/>
      <c r="E13" s="19"/>
      <c r="F13" s="10"/>
      <c r="G13" s="46"/>
    </row>
    <row r="14" spans="1:12" x14ac:dyDescent="0.25">
      <c r="A14" s="21"/>
      <c r="B14" s="3"/>
      <c r="C14" s="42"/>
      <c r="E14" s="21"/>
      <c r="F14" s="3"/>
      <c r="G14" s="42"/>
    </row>
    <row r="15" spans="1:12" x14ac:dyDescent="0.25">
      <c r="A15" s="21">
        <v>2022</v>
      </c>
      <c r="B15" s="9">
        <v>36</v>
      </c>
      <c r="C15" s="22">
        <v>48</v>
      </c>
      <c r="E15" s="21">
        <v>2022</v>
      </c>
      <c r="F15" s="9">
        <v>100</v>
      </c>
      <c r="G15" s="22">
        <f>100</f>
        <v>100</v>
      </c>
    </row>
    <row r="16" spans="1:12" x14ac:dyDescent="0.25">
      <c r="A16" s="21">
        <v>2023</v>
      </c>
      <c r="B16" s="9">
        <f>B15+(B15*$B$8)</f>
        <v>36.54</v>
      </c>
      <c r="C16" s="22">
        <f>C15+(C15*$B$8)</f>
        <v>48.72</v>
      </c>
      <c r="E16" s="21">
        <v>2023</v>
      </c>
      <c r="F16" s="9">
        <f>F15+(F15*$B$8)</f>
        <v>101.5</v>
      </c>
      <c r="G16" s="22">
        <f>G15+(G15*$B$8)</f>
        <v>101.5</v>
      </c>
    </row>
    <row r="17" spans="1:16" x14ac:dyDescent="0.25">
      <c r="A17" s="21">
        <v>2024</v>
      </c>
      <c r="B17" s="9">
        <f t="shared" ref="B17:B25" si="0">B16+(B16*$B$8)</f>
        <v>37.088099999999997</v>
      </c>
      <c r="C17" s="22">
        <f t="shared" ref="C17:C25" si="1">C16+(C16*$B$8)</f>
        <v>49.450800000000001</v>
      </c>
      <c r="E17" s="21">
        <v>2024</v>
      </c>
      <c r="F17" s="9">
        <f t="shared" ref="F17:F25" si="2">F16+(F16*$B$8)</f>
        <v>103.02249999999999</v>
      </c>
      <c r="G17" s="22">
        <f t="shared" ref="G17:G25" si="3">G16+(G16*$B$8)</f>
        <v>103.02249999999999</v>
      </c>
    </row>
    <row r="18" spans="1:16" x14ac:dyDescent="0.25">
      <c r="A18" s="21">
        <v>2025</v>
      </c>
      <c r="B18" s="9">
        <f t="shared" si="0"/>
        <v>37.6444215</v>
      </c>
      <c r="C18" s="22">
        <f t="shared" si="1"/>
        <v>50.192562000000002</v>
      </c>
      <c r="E18" s="21">
        <v>2025</v>
      </c>
      <c r="F18" s="9">
        <f t="shared" si="2"/>
        <v>104.5678375</v>
      </c>
      <c r="G18" s="22">
        <f t="shared" si="3"/>
        <v>104.5678375</v>
      </c>
    </row>
    <row r="19" spans="1:16" x14ac:dyDescent="0.25">
      <c r="A19" s="21">
        <v>2026</v>
      </c>
      <c r="B19" s="9">
        <f t="shared" si="0"/>
        <v>38.209087822500003</v>
      </c>
      <c r="C19" s="22">
        <f t="shared" si="1"/>
        <v>50.945450430000001</v>
      </c>
      <c r="E19" s="21">
        <v>2026</v>
      </c>
      <c r="F19" s="9">
        <f t="shared" si="2"/>
        <v>106.1363550625</v>
      </c>
      <c r="G19" s="22">
        <f t="shared" si="3"/>
        <v>106.1363550625</v>
      </c>
    </row>
    <row r="20" spans="1:16" x14ac:dyDescent="0.25">
      <c r="A20" s="21">
        <v>2027</v>
      </c>
      <c r="B20" s="9">
        <f t="shared" si="0"/>
        <v>38.782224139837503</v>
      </c>
      <c r="C20" s="22">
        <f t="shared" si="1"/>
        <v>51.709632186450001</v>
      </c>
      <c r="E20" s="21">
        <v>2027</v>
      </c>
      <c r="F20" s="9">
        <f t="shared" si="2"/>
        <v>107.72840038843751</v>
      </c>
      <c r="G20" s="22">
        <f t="shared" si="3"/>
        <v>107.72840038843751</v>
      </c>
    </row>
    <row r="21" spans="1:16" x14ac:dyDescent="0.25">
      <c r="A21" s="21">
        <v>2028</v>
      </c>
      <c r="B21" s="9">
        <f t="shared" si="0"/>
        <v>39.363957501935069</v>
      </c>
      <c r="C21" s="22">
        <f t="shared" si="1"/>
        <v>52.485276669246751</v>
      </c>
      <c r="E21" s="21">
        <v>2028</v>
      </c>
      <c r="F21" s="9">
        <f t="shared" si="2"/>
        <v>109.34432639426407</v>
      </c>
      <c r="G21" s="22">
        <f t="shared" si="3"/>
        <v>109.34432639426407</v>
      </c>
    </row>
    <row r="22" spans="1:16" x14ac:dyDescent="0.25">
      <c r="A22" s="21">
        <v>2029</v>
      </c>
      <c r="B22" s="9">
        <f t="shared" si="0"/>
        <v>39.954416864464093</v>
      </c>
      <c r="C22" s="22">
        <f t="shared" si="1"/>
        <v>53.272555819285451</v>
      </c>
      <c r="E22" s="21">
        <v>2029</v>
      </c>
      <c r="F22" s="9">
        <f t="shared" si="2"/>
        <v>110.98449129017803</v>
      </c>
      <c r="G22" s="22">
        <f t="shared" si="3"/>
        <v>110.98449129017803</v>
      </c>
    </row>
    <row r="23" spans="1:16" x14ac:dyDescent="0.25">
      <c r="A23" s="21">
        <v>2030</v>
      </c>
      <c r="B23" s="9">
        <f t="shared" si="0"/>
        <v>40.553733117431058</v>
      </c>
      <c r="C23" s="22">
        <f t="shared" si="1"/>
        <v>54.071644156574735</v>
      </c>
      <c r="E23" s="21">
        <v>2030</v>
      </c>
      <c r="F23" s="9">
        <f t="shared" si="2"/>
        <v>112.6492586595307</v>
      </c>
      <c r="G23" s="22">
        <f t="shared" si="3"/>
        <v>112.6492586595307</v>
      </c>
    </row>
    <row r="24" spans="1:16" x14ac:dyDescent="0.25">
      <c r="A24" s="21">
        <v>2031</v>
      </c>
      <c r="B24" s="9">
        <f t="shared" si="0"/>
        <v>41.162039114192524</v>
      </c>
      <c r="C24" s="22">
        <f t="shared" si="1"/>
        <v>54.882718818923358</v>
      </c>
      <c r="E24" s="21">
        <v>2031</v>
      </c>
      <c r="F24" s="9">
        <f t="shared" si="2"/>
        <v>114.33899753942366</v>
      </c>
      <c r="G24" s="22">
        <f t="shared" si="3"/>
        <v>114.33899753942366</v>
      </c>
    </row>
    <row r="25" spans="1:16" ht="15.75" thickBot="1" x14ac:dyDescent="0.3">
      <c r="A25" s="12">
        <v>2032</v>
      </c>
      <c r="B25" s="9">
        <f t="shared" si="0"/>
        <v>41.779469700905409</v>
      </c>
      <c r="C25" s="22">
        <f t="shared" si="1"/>
        <v>55.705959601207212</v>
      </c>
      <c r="E25" s="12">
        <v>2032</v>
      </c>
      <c r="F25" s="9">
        <f t="shared" si="2"/>
        <v>116.05408250251502</v>
      </c>
      <c r="G25" s="22">
        <f t="shared" si="3"/>
        <v>116.05408250251502</v>
      </c>
    </row>
    <row r="26" spans="1:16" ht="15.75" thickBot="1" x14ac:dyDescent="0.3"/>
    <row r="27" spans="1:16" ht="15.75" thickBot="1" x14ac:dyDescent="0.3">
      <c r="A27" s="162" t="s">
        <v>13</v>
      </c>
      <c r="B27" s="163"/>
      <c r="C27" s="57" t="s">
        <v>8</v>
      </c>
      <c r="G27" s="57" t="s">
        <v>8</v>
      </c>
      <c r="L27" s="57" t="s">
        <v>8</v>
      </c>
      <c r="O27" s="57" t="s">
        <v>8</v>
      </c>
    </row>
    <row r="28" spans="1:16" ht="15.75" thickBot="1" x14ac:dyDescent="0.3">
      <c r="A28" s="15" t="s">
        <v>9</v>
      </c>
      <c r="B28" s="160" t="s">
        <v>24</v>
      </c>
      <c r="C28" s="161"/>
      <c r="D28" s="160" t="s">
        <v>15</v>
      </c>
      <c r="E28" s="161"/>
      <c r="G28" s="164" t="s">
        <v>18</v>
      </c>
      <c r="H28" s="165"/>
      <c r="I28" s="165"/>
      <c r="J28" s="166"/>
      <c r="L28" s="164" t="s">
        <v>57</v>
      </c>
      <c r="M28" s="166"/>
      <c r="N28" s="83"/>
      <c r="O28" s="164" t="s">
        <v>58</v>
      </c>
      <c r="P28" s="166"/>
    </row>
    <row r="29" spans="1:16" ht="15.75" thickBot="1" x14ac:dyDescent="0.3">
      <c r="A29" s="16"/>
      <c r="B29" s="18" t="s">
        <v>16</v>
      </c>
      <c r="C29" s="14" t="s">
        <v>1</v>
      </c>
      <c r="D29" s="18" t="s">
        <v>16</v>
      </c>
      <c r="E29" s="14" t="s">
        <v>1</v>
      </c>
      <c r="G29" s="36" t="s">
        <v>9</v>
      </c>
      <c r="H29" s="37" t="s">
        <v>1</v>
      </c>
      <c r="I29" s="37" t="s">
        <v>32</v>
      </c>
      <c r="J29" s="38" t="s">
        <v>23</v>
      </c>
      <c r="L29" s="12" t="s">
        <v>9</v>
      </c>
      <c r="M29" s="43" t="s">
        <v>1</v>
      </c>
      <c r="O29" s="12" t="s">
        <v>9</v>
      </c>
      <c r="P29" s="43" t="s">
        <v>1</v>
      </c>
    </row>
    <row r="30" spans="1:16" x14ac:dyDescent="0.25">
      <c r="A30" s="53">
        <v>2020</v>
      </c>
      <c r="B30" s="54">
        <v>45</v>
      </c>
      <c r="C30" s="54">
        <v>30</v>
      </c>
      <c r="D30" s="11" t="s">
        <v>17</v>
      </c>
      <c r="E30" s="20" t="s">
        <v>17</v>
      </c>
      <c r="G30" s="39">
        <v>2020</v>
      </c>
      <c r="H30" s="40" t="s">
        <v>20</v>
      </c>
      <c r="I30" s="40"/>
      <c r="J30" s="41"/>
      <c r="L30" s="19"/>
      <c r="M30" s="46"/>
      <c r="O30" s="19"/>
      <c r="P30" s="46"/>
    </row>
    <row r="31" spans="1:16" x14ac:dyDescent="0.25">
      <c r="A31" s="55">
        <v>2021</v>
      </c>
      <c r="B31" s="56">
        <f>B30+0.05*B30</f>
        <v>47.25</v>
      </c>
      <c r="C31" s="56">
        <f>C30+(0.08*C30)</f>
        <v>32.4</v>
      </c>
      <c r="D31" s="9" t="s">
        <v>17</v>
      </c>
      <c r="E31" s="22" t="s">
        <v>17</v>
      </c>
      <c r="G31" s="21">
        <v>2021</v>
      </c>
      <c r="H31" s="3" t="s">
        <v>20</v>
      </c>
      <c r="I31" s="3"/>
      <c r="J31" s="42"/>
      <c r="L31" s="21"/>
      <c r="M31" s="42"/>
      <c r="O31" s="21"/>
      <c r="P31" s="42"/>
    </row>
    <row r="32" spans="1:16" x14ac:dyDescent="0.25">
      <c r="A32" s="21">
        <v>2022</v>
      </c>
      <c r="B32" s="9">
        <f t="shared" ref="B32:B41" si="4">B31+0.05*B31</f>
        <v>49.612499999999997</v>
      </c>
      <c r="C32" s="9">
        <f>C31+(0.08*C31)</f>
        <v>34.991999999999997</v>
      </c>
      <c r="D32" s="9">
        <f>B32</f>
        <v>49.612499999999997</v>
      </c>
      <c r="E32" s="22">
        <f>C32</f>
        <v>34.991999999999997</v>
      </c>
      <c r="G32" s="21">
        <v>2022</v>
      </c>
      <c r="H32" s="9">
        <v>5</v>
      </c>
      <c r="I32" s="9">
        <f>0.5*G15</f>
        <v>50</v>
      </c>
      <c r="J32" s="22">
        <f>0.6*B15</f>
        <v>21.599999999999998</v>
      </c>
      <c r="L32" s="21">
        <v>2022</v>
      </c>
      <c r="M32" s="22">
        <f>(E32-C32)+H32</f>
        <v>5</v>
      </c>
      <c r="O32" s="21">
        <v>2022</v>
      </c>
      <c r="P32" s="22">
        <f>(H32-F32)+K32</f>
        <v>5</v>
      </c>
    </row>
    <row r="33" spans="1:16" x14ac:dyDescent="0.25">
      <c r="A33" s="21">
        <v>2023</v>
      </c>
      <c r="B33" s="9">
        <f t="shared" si="4"/>
        <v>52.093125000000001</v>
      </c>
      <c r="C33" s="9">
        <f t="shared" ref="C33:C42" si="5">C32+(0.08*C32)</f>
        <v>37.791359999999997</v>
      </c>
      <c r="D33" s="9">
        <f>D32+(0.05*D32)</f>
        <v>52.093125000000001</v>
      </c>
      <c r="E33" s="22">
        <f>E32+(E32*0.1)</f>
        <v>38.491199999999999</v>
      </c>
      <c r="G33" s="21">
        <v>2023</v>
      </c>
      <c r="H33" s="9">
        <f>(H32+0.08*H32)</f>
        <v>5.4</v>
      </c>
      <c r="I33" s="9">
        <f t="shared" ref="I33:I42" si="6">0.5*G16</f>
        <v>50.75</v>
      </c>
      <c r="J33" s="22">
        <f>0.6*B16</f>
        <v>21.923999999999999</v>
      </c>
      <c r="L33" s="21">
        <v>2023</v>
      </c>
      <c r="M33" s="22">
        <f t="shared" ref="M33:M42" si="7">(E33-C33)+H33</f>
        <v>6.0998400000000021</v>
      </c>
      <c r="O33" s="21">
        <v>2023</v>
      </c>
      <c r="P33" s="22">
        <f t="shared" ref="P33:P42" si="8">(H33-F33)+K33</f>
        <v>5.4</v>
      </c>
    </row>
    <row r="34" spans="1:16" x14ac:dyDescent="0.25">
      <c r="A34" s="21">
        <v>2024</v>
      </c>
      <c r="B34" s="9">
        <f t="shared" si="4"/>
        <v>54.697781249999998</v>
      </c>
      <c r="C34" s="9">
        <f t="shared" si="5"/>
        <v>40.8146688</v>
      </c>
      <c r="D34" s="9">
        <f t="shared" ref="D34:D42" si="9">D33+(0.05*D33)</f>
        <v>54.697781249999998</v>
      </c>
      <c r="E34" s="22">
        <f t="shared" ref="E34:E42" si="10">E33+(E33*0.1)</f>
        <v>42.340319999999998</v>
      </c>
      <c r="G34" s="21">
        <v>2024</v>
      </c>
      <c r="H34" s="9">
        <f t="shared" ref="H34:H42" si="11">(H33+0.08*H33)</f>
        <v>5.8320000000000007</v>
      </c>
      <c r="I34" s="9">
        <f t="shared" si="6"/>
        <v>51.511249999999997</v>
      </c>
      <c r="J34" s="22">
        <f t="shared" ref="J34:J42" si="12">0.6*B17</f>
        <v>22.252859999999998</v>
      </c>
      <c r="L34" s="21">
        <v>2024</v>
      </c>
      <c r="M34" s="22">
        <f t="shared" si="7"/>
        <v>7.3576511999999994</v>
      </c>
      <c r="O34" s="21">
        <v>2024</v>
      </c>
      <c r="P34" s="22">
        <f t="shared" si="8"/>
        <v>5.8320000000000007</v>
      </c>
    </row>
    <row r="35" spans="1:16" x14ac:dyDescent="0.25">
      <c r="A35" s="21">
        <v>2025</v>
      </c>
      <c r="B35" s="9">
        <f t="shared" si="4"/>
        <v>57.432670312500001</v>
      </c>
      <c r="C35" s="9">
        <f t="shared" si="5"/>
        <v>44.079842303999996</v>
      </c>
      <c r="D35" s="9">
        <f t="shared" si="9"/>
        <v>57.432670312500001</v>
      </c>
      <c r="E35" s="22">
        <f t="shared" si="10"/>
        <v>46.574351999999998</v>
      </c>
      <c r="G35" s="21">
        <v>2025</v>
      </c>
      <c r="H35" s="9">
        <f t="shared" si="11"/>
        <v>6.298560000000001</v>
      </c>
      <c r="I35" s="9">
        <f t="shared" si="6"/>
        <v>52.283918749999998</v>
      </c>
      <c r="J35" s="22">
        <f t="shared" si="12"/>
        <v>22.586652900000001</v>
      </c>
      <c r="L35" s="21">
        <v>2025</v>
      </c>
      <c r="M35" s="22">
        <f t="shared" si="7"/>
        <v>8.7930696960000034</v>
      </c>
      <c r="O35" s="21">
        <v>2025</v>
      </c>
      <c r="P35" s="22">
        <f t="shared" si="8"/>
        <v>6.298560000000001</v>
      </c>
    </row>
    <row r="36" spans="1:16" x14ac:dyDescent="0.25">
      <c r="A36" s="21">
        <v>2026</v>
      </c>
      <c r="B36" s="9">
        <f t="shared" si="4"/>
        <v>60.304303828125001</v>
      </c>
      <c r="C36" s="9">
        <f t="shared" si="5"/>
        <v>47.606229688319999</v>
      </c>
      <c r="D36" s="9">
        <f t="shared" si="9"/>
        <v>60.304303828125001</v>
      </c>
      <c r="E36" s="22">
        <f t="shared" si="10"/>
        <v>51.231787199999999</v>
      </c>
      <c r="G36" s="21">
        <v>2026</v>
      </c>
      <c r="H36" s="9">
        <f t="shared" si="11"/>
        <v>6.8024448000000008</v>
      </c>
      <c r="I36" s="9">
        <f t="shared" si="6"/>
        <v>53.068177531250001</v>
      </c>
      <c r="J36" s="22">
        <f t="shared" si="12"/>
        <v>22.925452693500002</v>
      </c>
      <c r="L36" s="21">
        <v>2026</v>
      </c>
      <c r="M36" s="22">
        <f t="shared" si="7"/>
        <v>10.42800231168</v>
      </c>
      <c r="O36" s="21">
        <v>2026</v>
      </c>
      <c r="P36" s="22">
        <f t="shared" si="8"/>
        <v>6.8024448000000008</v>
      </c>
    </row>
    <row r="37" spans="1:16" x14ac:dyDescent="0.25">
      <c r="A37" s="21">
        <v>2027</v>
      </c>
      <c r="B37" s="9">
        <f t="shared" si="4"/>
        <v>63.319519019531249</v>
      </c>
      <c r="C37" s="9">
        <f t="shared" si="5"/>
        <v>51.414728063385596</v>
      </c>
      <c r="D37" s="9">
        <f t="shared" si="9"/>
        <v>63.319519019531249</v>
      </c>
      <c r="E37" s="22">
        <f t="shared" si="10"/>
        <v>56.354965919999998</v>
      </c>
      <c r="G37" s="21">
        <v>2027</v>
      </c>
      <c r="H37" s="9">
        <f t="shared" si="11"/>
        <v>7.3466403840000005</v>
      </c>
      <c r="I37" s="9">
        <f t="shared" si="6"/>
        <v>53.864200194218753</v>
      </c>
      <c r="J37" s="22">
        <f t="shared" si="12"/>
        <v>23.269334483902501</v>
      </c>
      <c r="L37" s="21">
        <v>2027</v>
      </c>
      <c r="M37" s="22">
        <f t="shared" si="7"/>
        <v>12.286878240614403</v>
      </c>
      <c r="O37" s="21">
        <v>2027</v>
      </c>
      <c r="P37" s="22">
        <f t="shared" si="8"/>
        <v>7.3466403840000005</v>
      </c>
    </row>
    <row r="38" spans="1:16" x14ac:dyDescent="0.25">
      <c r="A38" s="21">
        <v>2028</v>
      </c>
      <c r="B38" s="9">
        <f t="shared" si="4"/>
        <v>66.485494970507816</v>
      </c>
      <c r="C38" s="9">
        <f t="shared" si="5"/>
        <v>55.527906308456444</v>
      </c>
      <c r="D38" s="9">
        <f t="shared" si="9"/>
        <v>66.485494970507816</v>
      </c>
      <c r="E38" s="22">
        <f t="shared" si="10"/>
        <v>61.990462512000001</v>
      </c>
      <c r="G38" s="21">
        <v>2028</v>
      </c>
      <c r="H38" s="9">
        <f t="shared" si="11"/>
        <v>7.9343716147200007</v>
      </c>
      <c r="I38" s="9">
        <f t="shared" si="6"/>
        <v>54.672163197132036</v>
      </c>
      <c r="J38" s="22">
        <f t="shared" si="12"/>
        <v>23.618374501161039</v>
      </c>
      <c r="L38" s="21">
        <v>2028</v>
      </c>
      <c r="M38" s="22">
        <f t="shared" si="7"/>
        <v>14.396927818263556</v>
      </c>
      <c r="O38" s="21">
        <v>2028</v>
      </c>
      <c r="P38" s="22">
        <f t="shared" si="8"/>
        <v>7.9343716147200007</v>
      </c>
    </row>
    <row r="39" spans="1:16" x14ac:dyDescent="0.25">
      <c r="A39" s="21">
        <v>2029</v>
      </c>
      <c r="B39" s="9">
        <f t="shared" si="4"/>
        <v>69.809769719033213</v>
      </c>
      <c r="C39" s="9">
        <f t="shared" si="5"/>
        <v>59.970138813132962</v>
      </c>
      <c r="D39" s="9">
        <f t="shared" si="9"/>
        <v>69.809769719033213</v>
      </c>
      <c r="E39" s="22">
        <f t="shared" si="10"/>
        <v>68.189508763199996</v>
      </c>
      <c r="G39" s="21">
        <v>2029</v>
      </c>
      <c r="H39" s="9">
        <f t="shared" si="11"/>
        <v>8.5691213438976011</v>
      </c>
      <c r="I39" s="9">
        <f t="shared" si="6"/>
        <v>55.492245645089014</v>
      </c>
      <c r="J39" s="22">
        <f t="shared" si="12"/>
        <v>23.972650118678455</v>
      </c>
      <c r="L39" s="21">
        <v>2029</v>
      </c>
      <c r="M39" s="22">
        <f t="shared" si="7"/>
        <v>16.788491293964633</v>
      </c>
      <c r="O39" s="21">
        <v>2029</v>
      </c>
      <c r="P39" s="22">
        <f t="shared" si="8"/>
        <v>8.5691213438976011</v>
      </c>
    </row>
    <row r="40" spans="1:16" x14ac:dyDescent="0.25">
      <c r="A40" s="21">
        <v>2030</v>
      </c>
      <c r="B40" s="9">
        <f t="shared" si="4"/>
        <v>73.300258204984871</v>
      </c>
      <c r="C40" s="9">
        <f t="shared" si="5"/>
        <v>64.767749918183597</v>
      </c>
      <c r="D40" s="9">
        <f t="shared" si="9"/>
        <v>73.300258204984871</v>
      </c>
      <c r="E40" s="22">
        <f t="shared" si="10"/>
        <v>75.008459639519998</v>
      </c>
      <c r="G40" s="21">
        <v>2030</v>
      </c>
      <c r="H40" s="9">
        <f t="shared" si="11"/>
        <v>9.2546510514094091</v>
      </c>
      <c r="I40" s="9">
        <f t="shared" si="6"/>
        <v>56.324629329765351</v>
      </c>
      <c r="J40" s="22">
        <f t="shared" si="12"/>
        <v>24.332239870458633</v>
      </c>
      <c r="L40" s="21">
        <v>2030</v>
      </c>
      <c r="M40" s="22">
        <f t="shared" si="7"/>
        <v>19.495360772745812</v>
      </c>
      <c r="O40" s="21">
        <v>2030</v>
      </c>
      <c r="P40" s="22">
        <f t="shared" si="8"/>
        <v>9.2546510514094091</v>
      </c>
    </row>
    <row r="41" spans="1:16" x14ac:dyDescent="0.25">
      <c r="A41" s="21">
        <v>2031</v>
      </c>
      <c r="B41" s="9">
        <f t="shared" si="4"/>
        <v>76.965271115234117</v>
      </c>
      <c r="C41" s="9">
        <f t="shared" si="5"/>
        <v>69.949169911638279</v>
      </c>
      <c r="D41" s="9">
        <f t="shared" si="9"/>
        <v>76.965271115234117</v>
      </c>
      <c r="E41" s="22">
        <f t="shared" si="10"/>
        <v>82.509305603472001</v>
      </c>
      <c r="G41" s="21">
        <v>2031</v>
      </c>
      <c r="H41" s="9">
        <f t="shared" si="11"/>
        <v>9.9950231355221621</v>
      </c>
      <c r="I41" s="9">
        <f t="shared" si="6"/>
        <v>57.169498769711829</v>
      </c>
      <c r="J41" s="22">
        <f t="shared" si="12"/>
        <v>24.697223468515514</v>
      </c>
      <c r="L41" s="21">
        <v>2031</v>
      </c>
      <c r="M41" s="22">
        <f t="shared" si="7"/>
        <v>22.555158827355882</v>
      </c>
      <c r="O41" s="21">
        <v>2031</v>
      </c>
      <c r="P41" s="22">
        <f t="shared" si="8"/>
        <v>9.9950231355221621</v>
      </c>
    </row>
    <row r="42" spans="1:16" ht="15.75" thickBot="1" x14ac:dyDescent="0.3">
      <c r="A42" s="12">
        <v>2032</v>
      </c>
      <c r="B42" s="23">
        <f>B41+0.05*B41</f>
        <v>80.813534670995821</v>
      </c>
      <c r="C42" s="23">
        <f t="shared" si="5"/>
        <v>75.54510350456934</v>
      </c>
      <c r="D42" s="9">
        <f t="shared" si="9"/>
        <v>80.813534670995821</v>
      </c>
      <c r="E42" s="22">
        <f t="shared" si="10"/>
        <v>90.760236163819201</v>
      </c>
      <c r="G42" s="12">
        <v>2032</v>
      </c>
      <c r="H42" s="23">
        <f t="shared" si="11"/>
        <v>10.794624986363935</v>
      </c>
      <c r="I42" s="9">
        <f t="shared" si="6"/>
        <v>58.027041251257508</v>
      </c>
      <c r="J42" s="22">
        <f t="shared" si="12"/>
        <v>25.067681820543246</v>
      </c>
      <c r="L42" s="12">
        <v>2032</v>
      </c>
      <c r="M42" s="24">
        <f t="shared" si="7"/>
        <v>26.009757645613796</v>
      </c>
      <c r="O42" s="12">
        <v>2032</v>
      </c>
      <c r="P42" s="24">
        <f t="shared" si="8"/>
        <v>10.794624986363935</v>
      </c>
    </row>
    <row r="43" spans="1:16" ht="15.75" thickBot="1" x14ac:dyDescent="0.3"/>
    <row r="44" spans="1:16" ht="15.75" thickBot="1" x14ac:dyDescent="0.3">
      <c r="A44" s="162" t="s">
        <v>25</v>
      </c>
      <c r="B44" s="163"/>
      <c r="C44" s="57" t="s">
        <v>8</v>
      </c>
      <c r="G44" s="162" t="s">
        <v>31</v>
      </c>
      <c r="H44" s="163"/>
      <c r="I44" s="57" t="s">
        <v>8</v>
      </c>
    </row>
    <row r="45" spans="1:16" x14ac:dyDescent="0.25">
      <c r="A45" s="15" t="s">
        <v>9</v>
      </c>
      <c r="B45" s="160" t="s">
        <v>24</v>
      </c>
      <c r="C45" s="161"/>
      <c r="D45" s="160" t="s">
        <v>15</v>
      </c>
      <c r="E45" s="161"/>
      <c r="G45" s="15" t="s">
        <v>9</v>
      </c>
      <c r="H45" s="160" t="s">
        <v>24</v>
      </c>
      <c r="I45" s="161"/>
      <c r="J45" s="160" t="s">
        <v>15</v>
      </c>
      <c r="K45" s="161"/>
    </row>
    <row r="46" spans="1:16" ht="15.75" thickBot="1" x14ac:dyDescent="0.3">
      <c r="A46" s="25"/>
      <c r="B46" s="26" t="s">
        <v>16</v>
      </c>
      <c r="C46" s="27" t="s">
        <v>1</v>
      </c>
      <c r="D46" s="26" t="s">
        <v>16</v>
      </c>
      <c r="E46" s="27" t="s">
        <v>1</v>
      </c>
      <c r="G46" s="25"/>
      <c r="H46" s="26" t="s">
        <v>16</v>
      </c>
      <c r="I46" s="27" t="s">
        <v>1</v>
      </c>
      <c r="J46" s="26" t="s">
        <v>16</v>
      </c>
      <c r="K46" s="27" t="s">
        <v>1</v>
      </c>
    </row>
    <row r="47" spans="1:16" x14ac:dyDescent="0.25">
      <c r="A47" s="39">
        <v>2022</v>
      </c>
      <c r="B47" s="62">
        <f>B32*B15</f>
        <v>1786.05</v>
      </c>
      <c r="C47" s="58">
        <f>C32*C15</f>
        <v>1679.616</v>
      </c>
      <c r="D47" s="58">
        <f>D32*B15</f>
        <v>1786.05</v>
      </c>
      <c r="E47" s="59">
        <f>(E32*C15)+(H32*J32)</f>
        <v>1787.616</v>
      </c>
      <c r="G47" s="39">
        <v>2022</v>
      </c>
      <c r="H47" s="58">
        <f>B32*F15</f>
        <v>4961.25</v>
      </c>
      <c r="I47" s="58">
        <f>C32*G15</f>
        <v>3499.2</v>
      </c>
      <c r="J47" s="58">
        <f>D32*F15</f>
        <v>4961.25</v>
      </c>
      <c r="K47" s="59">
        <f>(E32*G15)+(H32*I32)</f>
        <v>3749.2</v>
      </c>
    </row>
    <row r="48" spans="1:16" x14ac:dyDescent="0.25">
      <c r="A48" s="21">
        <v>2023</v>
      </c>
      <c r="B48" s="63">
        <f t="shared" ref="B48:C57" si="13">B33*B16</f>
        <v>1903.4827875000001</v>
      </c>
      <c r="C48" s="48">
        <f t="shared" si="13"/>
        <v>1841.1950591999998</v>
      </c>
      <c r="D48" s="48">
        <f t="shared" ref="D48:D57" si="14">D33*B16</f>
        <v>1903.4827875000001</v>
      </c>
      <c r="E48" s="49">
        <f t="shared" ref="E48:E57" si="15">(E33*C16)+(H33*J33)</f>
        <v>1993.6808639999999</v>
      </c>
      <c r="G48" s="21">
        <v>2023</v>
      </c>
      <c r="H48" s="48">
        <f t="shared" ref="H48:H57" si="16">B33*F16</f>
        <v>5287.4521875</v>
      </c>
      <c r="I48" s="48">
        <f t="shared" ref="I48:I57" si="17">C33*G16</f>
        <v>3835.8230399999998</v>
      </c>
      <c r="J48" s="48">
        <f t="shared" ref="J48:J57" si="18">D33*F16</f>
        <v>5287.4521875</v>
      </c>
      <c r="K48" s="49">
        <f t="shared" ref="K48:K57" si="19">(E33*G16)+(H33*I33)</f>
        <v>4180.9067999999997</v>
      </c>
    </row>
    <row r="49" spans="1:12" x14ac:dyDescent="0.25">
      <c r="A49" s="21">
        <v>2024</v>
      </c>
      <c r="B49" s="63">
        <f t="shared" si="13"/>
        <v>2028.6367807781248</v>
      </c>
      <c r="C49" s="48">
        <f t="shared" si="13"/>
        <v>2018.3180238950399</v>
      </c>
      <c r="D49" s="48">
        <f t="shared" si="14"/>
        <v>2028.6367807781248</v>
      </c>
      <c r="E49" s="49">
        <f t="shared" si="15"/>
        <v>2223.5413757759998</v>
      </c>
      <c r="G49" s="21">
        <v>2024</v>
      </c>
      <c r="H49" s="48">
        <f t="shared" si="16"/>
        <v>5635.1021688281244</v>
      </c>
      <c r="I49" s="48">
        <f t="shared" si="17"/>
        <v>4204.8292164479999</v>
      </c>
      <c r="J49" s="48">
        <f t="shared" si="18"/>
        <v>5635.1021688281244</v>
      </c>
      <c r="K49" s="49">
        <f>(E34*G17)+(H34*I34)</f>
        <v>4662.4192271999991</v>
      </c>
      <c r="L49" t="s">
        <v>33</v>
      </c>
    </row>
    <row r="50" spans="1:12" x14ac:dyDescent="0.25">
      <c r="A50" s="21">
        <v>2025</v>
      </c>
      <c r="B50" s="63">
        <f t="shared" si="13"/>
        <v>2162.0196491142869</v>
      </c>
      <c r="C50" s="48">
        <f t="shared" si="13"/>
        <v>2212.4802177937427</v>
      </c>
      <c r="D50" s="48">
        <f t="shared" si="14"/>
        <v>2162.0196491142869</v>
      </c>
      <c r="E50" s="49">
        <f t="shared" si="15"/>
        <v>2479.9494388596481</v>
      </c>
      <c r="G50" s="21">
        <v>2025</v>
      </c>
      <c r="H50" s="48">
        <f t="shared" si="16"/>
        <v>6005.6101364285742</v>
      </c>
      <c r="I50" s="48">
        <f t="shared" si="17"/>
        <v>4609.3337870702971</v>
      </c>
      <c r="J50" s="48">
        <f t="shared" si="18"/>
        <v>6005.6101364285742</v>
      </c>
      <c r="K50" s="49">
        <f t="shared" si="19"/>
        <v>5199.4926708858002</v>
      </c>
    </row>
    <row r="51" spans="1:12" x14ac:dyDescent="0.25">
      <c r="A51" s="21">
        <v>2026</v>
      </c>
      <c r="B51" s="63">
        <f t="shared" si="13"/>
        <v>2304.1724410435513</v>
      </c>
      <c r="C51" s="48">
        <f t="shared" si="13"/>
        <v>2425.3208147455011</v>
      </c>
      <c r="D51" s="48">
        <f t="shared" si="14"/>
        <v>2304.1724410435513</v>
      </c>
      <c r="E51" s="49">
        <f t="shared" si="15"/>
        <v>2765.9756017004538</v>
      </c>
      <c r="G51" s="21">
        <v>2026</v>
      </c>
      <c r="H51" s="48">
        <f t="shared" si="16"/>
        <v>6400.4790028987527</v>
      </c>
      <c r="I51" s="48">
        <f t="shared" si="17"/>
        <v>5052.7516973864604</v>
      </c>
      <c r="J51" s="48">
        <f t="shared" si="18"/>
        <v>6400.4790028987527</v>
      </c>
      <c r="K51" s="49">
        <f t="shared" si="19"/>
        <v>5798.5485050385705</v>
      </c>
    </row>
    <row r="52" spans="1:12" x14ac:dyDescent="0.25">
      <c r="A52" s="21">
        <v>2027</v>
      </c>
      <c r="B52" s="63">
        <f t="shared" si="13"/>
        <v>2455.6717790421649</v>
      </c>
      <c r="C52" s="48">
        <f t="shared" si="13"/>
        <v>2658.6366771240178</v>
      </c>
      <c r="D52" s="48">
        <f t="shared" si="14"/>
        <v>2455.6717790421649</v>
      </c>
      <c r="E52" s="49">
        <f t="shared" si="15"/>
        <v>3085.0459920313665</v>
      </c>
      <c r="G52" s="21">
        <v>2027</v>
      </c>
      <c r="H52" s="48">
        <f t="shared" si="16"/>
        <v>6821.3104973393465</v>
      </c>
      <c r="I52" s="48">
        <f t="shared" si="17"/>
        <v>5538.8264106750376</v>
      </c>
      <c r="J52" s="48">
        <f t="shared" si="18"/>
        <v>6821.3104973393465</v>
      </c>
      <c r="K52" s="49">
        <f t="shared" si="19"/>
        <v>6466.7512409052188</v>
      </c>
    </row>
    <row r="53" spans="1:12" x14ac:dyDescent="0.25">
      <c r="A53" s="21">
        <v>2028</v>
      </c>
      <c r="B53" s="63">
        <f t="shared" si="13"/>
        <v>2617.1321985141876</v>
      </c>
      <c r="C53" s="48">
        <f t="shared" si="13"/>
        <v>2914.3975254633483</v>
      </c>
      <c r="D53" s="48">
        <f t="shared" si="14"/>
        <v>2617.1321985141876</v>
      </c>
      <c r="E53" s="49">
        <f t="shared" si="15"/>
        <v>3440.983536024728</v>
      </c>
      <c r="G53" s="21">
        <v>2028</v>
      </c>
      <c r="H53" s="48">
        <f t="shared" si="16"/>
        <v>7269.8116625394086</v>
      </c>
      <c r="I53" s="48">
        <f t="shared" si="17"/>
        <v>6071.6615113819762</v>
      </c>
      <c r="J53" s="48">
        <f t="shared" si="18"/>
        <v>7269.8116625394086</v>
      </c>
      <c r="K53" s="49">
        <f t="shared" si="19"/>
        <v>7212.0946260301835</v>
      </c>
    </row>
    <row r="54" spans="1:12" x14ac:dyDescent="0.25">
      <c r="A54" s="21">
        <v>2029</v>
      </c>
      <c r="B54" s="63">
        <f t="shared" si="13"/>
        <v>2789.2086405664954</v>
      </c>
      <c r="C54" s="48">
        <f t="shared" si="13"/>
        <v>3194.7625674129226</v>
      </c>
      <c r="D54" s="48">
        <f t="shared" si="14"/>
        <v>2789.2086405664954</v>
      </c>
      <c r="E54" s="49">
        <f t="shared" si="15"/>
        <v>3838.0539596789831</v>
      </c>
      <c r="G54" s="21">
        <v>2029</v>
      </c>
      <c r="H54" s="48">
        <f t="shared" si="16"/>
        <v>7747.8017793513754</v>
      </c>
      <c r="I54" s="48">
        <f t="shared" si="17"/>
        <v>6655.7553487769228</v>
      </c>
      <c r="J54" s="48">
        <f t="shared" si="18"/>
        <v>7747.8017793513754</v>
      </c>
      <c r="K54" s="49">
        <f t="shared" si="19"/>
        <v>8043.497727989029</v>
      </c>
    </row>
    <row r="55" spans="1:12" x14ac:dyDescent="0.25">
      <c r="A55" s="21">
        <v>2030</v>
      </c>
      <c r="B55" s="63">
        <f t="shared" si="13"/>
        <v>2972.5991086837425</v>
      </c>
      <c r="C55" s="48">
        <f t="shared" si="13"/>
        <v>3502.098726398046</v>
      </c>
      <c r="D55" s="48">
        <f t="shared" si="14"/>
        <v>2972.5991086837425</v>
      </c>
      <c r="E55" s="49">
        <f t="shared" si="15"/>
        <v>4281.0171276612091</v>
      </c>
      <c r="G55" s="21">
        <v>2030</v>
      </c>
      <c r="H55" s="48">
        <f t="shared" si="16"/>
        <v>8257.2197463437278</v>
      </c>
      <c r="I55" s="48">
        <f t="shared" si="17"/>
        <v>7296.0390133292622</v>
      </c>
      <c r="J55" s="48">
        <f t="shared" si="18"/>
        <v>8257.2197463437278</v>
      </c>
      <c r="K55" s="49">
        <f t="shared" si="19"/>
        <v>8970.9121616322154</v>
      </c>
    </row>
    <row r="56" spans="1:12" x14ac:dyDescent="0.25">
      <c r="A56" s="21">
        <v>2031</v>
      </c>
      <c r="B56" s="63">
        <f t="shared" si="13"/>
        <v>3168.0475000796987</v>
      </c>
      <c r="C56" s="48">
        <f t="shared" si="13"/>
        <v>3839.0006238775377</v>
      </c>
      <c r="D56" s="48">
        <f t="shared" si="14"/>
        <v>3168.0475000796987</v>
      </c>
      <c r="E56" s="49">
        <f t="shared" si="15"/>
        <v>4775.1843393309446</v>
      </c>
      <c r="G56" s="21">
        <v>2031</v>
      </c>
      <c r="H56" s="48">
        <f t="shared" si="16"/>
        <v>8800.131944665829</v>
      </c>
      <c r="I56" s="48">
        <f t="shared" si="17"/>
        <v>7997.9179664115363</v>
      </c>
      <c r="J56" s="48">
        <f t="shared" si="18"/>
        <v>8800.131944665829</v>
      </c>
      <c r="K56" s="49">
        <f t="shared" si="19"/>
        <v>10005.441753224415</v>
      </c>
    </row>
    <row r="57" spans="1:12" ht="15.75" thickBot="1" x14ac:dyDescent="0.3">
      <c r="A57" s="12">
        <v>2032</v>
      </c>
      <c r="B57" s="64">
        <f t="shared" si="13"/>
        <v>3376.3466232099386</v>
      </c>
      <c r="C57" s="60">
        <f t="shared" si="13"/>
        <v>4208.3124838945569</v>
      </c>
      <c r="D57" s="60">
        <f t="shared" si="14"/>
        <v>3376.3466232099386</v>
      </c>
      <c r="E57" s="61">
        <f t="shared" si="15"/>
        <v>5326.4822736679953</v>
      </c>
      <c r="G57" s="12">
        <v>2032</v>
      </c>
      <c r="H57" s="60">
        <f t="shared" si="16"/>
        <v>9378.7406200276073</v>
      </c>
      <c r="I57" s="60">
        <f t="shared" si="17"/>
        <v>8767.3176747803263</v>
      </c>
      <c r="J57" s="60">
        <f t="shared" si="18"/>
        <v>9378.7406200276073</v>
      </c>
      <c r="K57" s="61">
        <f t="shared" si="19"/>
        <v>11159.476085079215</v>
      </c>
    </row>
    <row r="58" spans="1:12" ht="15.75" thickBot="1" x14ac:dyDescent="0.3"/>
    <row r="59" spans="1:12" ht="15.75" thickBot="1" x14ac:dyDescent="0.3">
      <c r="A59" s="169" t="s">
        <v>25</v>
      </c>
      <c r="B59" s="170"/>
      <c r="C59" s="72" t="s">
        <v>8</v>
      </c>
      <c r="E59" s="169" t="s">
        <v>31</v>
      </c>
      <c r="F59" s="170"/>
      <c r="G59" s="72" t="s">
        <v>8</v>
      </c>
    </row>
    <row r="60" spans="1:12" x14ac:dyDescent="0.25">
      <c r="A60" s="74" t="s">
        <v>9</v>
      </c>
      <c r="B60" s="171" t="s">
        <v>34</v>
      </c>
      <c r="C60" s="172"/>
      <c r="E60" s="74" t="s">
        <v>9</v>
      </c>
      <c r="F60" s="171" t="s">
        <v>34</v>
      </c>
      <c r="G60" s="172"/>
    </row>
    <row r="61" spans="1:12" ht="15.75" thickBot="1" x14ac:dyDescent="0.3">
      <c r="A61" s="75"/>
      <c r="B61" s="17" t="s">
        <v>16</v>
      </c>
      <c r="C61" s="14" t="s">
        <v>1</v>
      </c>
      <c r="E61" s="75"/>
      <c r="F61" s="17" t="s">
        <v>16</v>
      </c>
      <c r="G61" s="14" t="s">
        <v>1</v>
      </c>
    </row>
    <row r="62" spans="1:12" x14ac:dyDescent="0.25">
      <c r="A62" s="19">
        <v>2022</v>
      </c>
      <c r="B62" s="11">
        <f>D47-B47</f>
        <v>0</v>
      </c>
      <c r="C62" s="73">
        <f>E47-C47</f>
        <v>108</v>
      </c>
      <c r="E62" s="39">
        <v>2022</v>
      </c>
      <c r="F62" s="76">
        <f>J47-H47</f>
        <v>0</v>
      </c>
      <c r="G62" s="70">
        <f>K47-I47</f>
        <v>250</v>
      </c>
    </row>
    <row r="63" spans="1:12" x14ac:dyDescent="0.25">
      <c r="A63" s="21">
        <v>2023</v>
      </c>
      <c r="B63" s="9">
        <f t="shared" ref="B63:B72" si="20">D48-B48</f>
        <v>0</v>
      </c>
      <c r="C63" s="50">
        <f t="shared" ref="C63:C72" si="21">E48-C48</f>
        <v>152.4858048000001</v>
      </c>
      <c r="E63" s="21">
        <v>2023</v>
      </c>
      <c r="F63" s="11">
        <f t="shared" ref="F63:F72" si="22">J48-H48</f>
        <v>0</v>
      </c>
      <c r="G63" s="73">
        <f t="shared" ref="G63:G72" si="23">K48-I48</f>
        <v>345.08375999999998</v>
      </c>
    </row>
    <row r="64" spans="1:12" x14ac:dyDescent="0.25">
      <c r="A64" s="21">
        <v>2024</v>
      </c>
      <c r="B64" s="9">
        <f t="shared" si="20"/>
        <v>0</v>
      </c>
      <c r="C64" s="50">
        <f t="shared" si="21"/>
        <v>205.22335188095985</v>
      </c>
      <c r="E64" s="21">
        <v>2024</v>
      </c>
      <c r="F64" s="11">
        <f t="shared" si="22"/>
        <v>0</v>
      </c>
      <c r="G64" s="73">
        <f t="shared" si="23"/>
        <v>457.59001075199922</v>
      </c>
    </row>
    <row r="65" spans="1:8" x14ac:dyDescent="0.25">
      <c r="A65" s="21">
        <v>2025</v>
      </c>
      <c r="B65" s="9">
        <f t="shared" si="20"/>
        <v>0</v>
      </c>
      <c r="C65" s="50">
        <f t="shared" si="21"/>
        <v>267.46922106590546</v>
      </c>
      <c r="E65" s="21">
        <v>2025</v>
      </c>
      <c r="F65" s="11">
        <f t="shared" si="22"/>
        <v>0</v>
      </c>
      <c r="G65" s="73">
        <f t="shared" si="23"/>
        <v>590.15888381550303</v>
      </c>
    </row>
    <row r="66" spans="1:8" x14ac:dyDescent="0.25">
      <c r="A66" s="21">
        <v>2026</v>
      </c>
      <c r="B66" s="9">
        <f t="shared" si="20"/>
        <v>0</v>
      </c>
      <c r="C66" s="50">
        <f t="shared" si="21"/>
        <v>340.65478695495267</v>
      </c>
      <c r="E66" s="21">
        <v>2026</v>
      </c>
      <c r="F66" s="11">
        <f t="shared" si="22"/>
        <v>0</v>
      </c>
      <c r="G66" s="73">
        <f t="shared" si="23"/>
        <v>745.79680765211015</v>
      </c>
    </row>
    <row r="67" spans="1:8" x14ac:dyDescent="0.25">
      <c r="A67" s="21">
        <v>2027</v>
      </c>
      <c r="B67" s="9">
        <f t="shared" si="20"/>
        <v>0</v>
      </c>
      <c r="C67" s="50">
        <f t="shared" si="21"/>
        <v>426.40931490734874</v>
      </c>
      <c r="E67" s="21">
        <v>2027</v>
      </c>
      <c r="F67" s="11">
        <f t="shared" si="22"/>
        <v>0</v>
      </c>
      <c r="G67" s="73">
        <f t="shared" si="23"/>
        <v>927.92483023018121</v>
      </c>
    </row>
    <row r="68" spans="1:8" x14ac:dyDescent="0.25">
      <c r="A68" s="21">
        <v>2028</v>
      </c>
      <c r="B68" s="9">
        <f t="shared" si="20"/>
        <v>0</v>
      </c>
      <c r="C68" s="50">
        <f t="shared" si="21"/>
        <v>526.58601056137968</v>
      </c>
      <c r="E68" s="21">
        <v>2028</v>
      </c>
      <c r="F68" s="11">
        <f t="shared" si="22"/>
        <v>0</v>
      </c>
      <c r="G68" s="73">
        <f t="shared" si="23"/>
        <v>1140.4331146482073</v>
      </c>
    </row>
    <row r="69" spans="1:8" x14ac:dyDescent="0.25">
      <c r="A69" s="21">
        <v>2029</v>
      </c>
      <c r="B69" s="9">
        <f t="shared" si="20"/>
        <v>0</v>
      </c>
      <c r="C69" s="50">
        <f t="shared" si="21"/>
        <v>643.29139226606048</v>
      </c>
      <c r="E69" s="21">
        <v>2029</v>
      </c>
      <c r="F69" s="11">
        <f t="shared" si="22"/>
        <v>0</v>
      </c>
      <c r="G69" s="73">
        <f t="shared" si="23"/>
        <v>1387.7423792121062</v>
      </c>
    </row>
    <row r="70" spans="1:8" x14ac:dyDescent="0.25">
      <c r="A70" s="21">
        <v>2030</v>
      </c>
      <c r="B70" s="9">
        <f t="shared" si="20"/>
        <v>0</v>
      </c>
      <c r="C70" s="50">
        <f t="shared" si="21"/>
        <v>778.9184012631631</v>
      </c>
      <c r="E70" s="21">
        <v>2030</v>
      </c>
      <c r="F70" s="11">
        <f t="shared" si="22"/>
        <v>0</v>
      </c>
      <c r="G70" s="73">
        <f t="shared" si="23"/>
        <v>1674.8731483029533</v>
      </c>
    </row>
    <row r="71" spans="1:8" x14ac:dyDescent="0.25">
      <c r="A71" s="21">
        <v>2031</v>
      </c>
      <c r="B71" s="9">
        <f t="shared" si="20"/>
        <v>0</v>
      </c>
      <c r="C71" s="50">
        <f t="shared" si="21"/>
        <v>936.18371545340688</v>
      </c>
      <c r="E71" s="21">
        <v>2031</v>
      </c>
      <c r="F71" s="11">
        <f t="shared" si="22"/>
        <v>0</v>
      </c>
      <c r="G71" s="73">
        <f t="shared" si="23"/>
        <v>2007.5237868128788</v>
      </c>
    </row>
    <row r="72" spans="1:8" ht="15.75" thickBot="1" x14ac:dyDescent="0.3">
      <c r="A72" s="12">
        <v>2032</v>
      </c>
      <c r="B72" s="23">
        <f t="shared" si="20"/>
        <v>0</v>
      </c>
      <c r="C72" s="71">
        <f t="shared" si="21"/>
        <v>1118.1697897734384</v>
      </c>
      <c r="E72" s="12">
        <v>2032</v>
      </c>
      <c r="F72" s="77">
        <f t="shared" si="22"/>
        <v>0</v>
      </c>
      <c r="G72" s="78">
        <f t="shared" si="23"/>
        <v>2392.1584102988891</v>
      </c>
    </row>
    <row r="73" spans="1:8" ht="15.75" thickBot="1" x14ac:dyDescent="0.3"/>
    <row r="74" spans="1:8" x14ac:dyDescent="0.25">
      <c r="A74" s="28"/>
      <c r="B74" s="29"/>
      <c r="C74" s="29"/>
      <c r="D74" s="29"/>
      <c r="E74" s="29"/>
      <c r="F74" s="29"/>
      <c r="G74" s="29"/>
      <c r="H74" s="30"/>
    </row>
    <row r="75" spans="1:8" x14ac:dyDescent="0.25">
      <c r="A75" s="31"/>
      <c r="B75" s="6"/>
      <c r="C75" s="6"/>
      <c r="D75" s="6"/>
      <c r="E75" s="6"/>
      <c r="F75" s="6"/>
      <c r="G75" s="6"/>
      <c r="H75" s="32"/>
    </row>
    <row r="76" spans="1:8" x14ac:dyDescent="0.25">
      <c r="A76" s="31"/>
      <c r="B76" s="6"/>
      <c r="C76" s="6"/>
      <c r="D76" s="6"/>
      <c r="E76" s="6"/>
      <c r="F76" s="6"/>
      <c r="G76" s="6"/>
      <c r="H76" s="32"/>
    </row>
    <row r="77" spans="1:8" x14ac:dyDescent="0.25">
      <c r="A77" s="31"/>
      <c r="B77" s="6"/>
      <c r="C77" s="6"/>
      <c r="D77" s="6"/>
      <c r="E77" s="6"/>
      <c r="F77" s="6"/>
      <c r="G77" s="6"/>
      <c r="H77" s="32"/>
    </row>
    <row r="78" spans="1:8" x14ac:dyDescent="0.25">
      <c r="A78" s="31"/>
      <c r="B78" s="6"/>
      <c r="C78" s="6"/>
      <c r="D78" s="6"/>
      <c r="E78" s="6"/>
      <c r="F78" s="6"/>
      <c r="G78" s="6"/>
      <c r="H78" s="32"/>
    </row>
    <row r="79" spans="1:8" x14ac:dyDescent="0.25">
      <c r="A79" s="31"/>
      <c r="B79" s="6"/>
      <c r="C79" s="6"/>
      <c r="D79" s="6"/>
      <c r="E79" s="6"/>
      <c r="F79" s="6"/>
      <c r="G79" s="6"/>
      <c r="H79" s="32"/>
    </row>
    <row r="80" spans="1:8" x14ac:dyDescent="0.25">
      <c r="A80" s="31"/>
      <c r="B80" s="6"/>
      <c r="C80" s="6"/>
      <c r="D80" s="6"/>
      <c r="E80" s="6"/>
      <c r="F80" s="6"/>
      <c r="G80" s="6"/>
      <c r="H80" s="32"/>
    </row>
    <row r="81" spans="1:8" x14ac:dyDescent="0.25">
      <c r="A81" s="31"/>
      <c r="B81" s="6"/>
      <c r="C81" s="6"/>
      <c r="D81" s="6"/>
      <c r="E81" s="6"/>
      <c r="F81" s="6"/>
      <c r="G81" s="6"/>
      <c r="H81" s="32"/>
    </row>
    <row r="82" spans="1:8" x14ac:dyDescent="0.25">
      <c r="A82" s="31"/>
      <c r="B82" s="6"/>
      <c r="C82" s="6"/>
      <c r="D82" s="6"/>
      <c r="E82" s="6"/>
      <c r="F82" s="6"/>
      <c r="G82" s="6"/>
      <c r="H82" s="32"/>
    </row>
    <row r="83" spans="1:8" x14ac:dyDescent="0.25">
      <c r="A83" s="31"/>
      <c r="B83" s="6"/>
      <c r="C83" s="6"/>
      <c r="D83" s="6"/>
      <c r="E83" s="6"/>
      <c r="F83" s="6"/>
      <c r="G83" s="6"/>
      <c r="H83" s="32"/>
    </row>
    <row r="84" spans="1:8" x14ac:dyDescent="0.25">
      <c r="A84" s="31"/>
      <c r="B84" s="6"/>
      <c r="C84" s="6"/>
      <c r="D84" s="6"/>
      <c r="E84" s="6"/>
      <c r="F84" s="6"/>
      <c r="G84" s="6"/>
      <c r="H84" s="32"/>
    </row>
    <row r="85" spans="1:8" x14ac:dyDescent="0.25">
      <c r="A85" s="31"/>
      <c r="B85" s="6"/>
      <c r="C85" s="6"/>
      <c r="D85" s="6"/>
      <c r="E85" s="6"/>
      <c r="F85" s="6"/>
      <c r="G85" s="6"/>
      <c r="H85" s="32"/>
    </row>
    <row r="86" spans="1:8" x14ac:dyDescent="0.25">
      <c r="A86" s="31"/>
      <c r="B86" s="6"/>
      <c r="C86" s="6"/>
      <c r="D86" s="6"/>
      <c r="E86" s="6"/>
      <c r="F86" s="6"/>
      <c r="G86" s="6"/>
      <c r="H86" s="32"/>
    </row>
    <row r="87" spans="1:8" x14ac:dyDescent="0.25">
      <c r="A87" s="31"/>
      <c r="B87" s="6"/>
      <c r="C87" s="6"/>
      <c r="D87" s="6"/>
      <c r="E87" s="6"/>
      <c r="F87" s="6"/>
      <c r="G87" s="6"/>
      <c r="H87" s="32"/>
    </row>
    <row r="88" spans="1:8" x14ac:dyDescent="0.25">
      <c r="A88" s="31"/>
      <c r="B88" s="6"/>
      <c r="C88" s="6"/>
      <c r="D88" s="6"/>
      <c r="E88" s="6"/>
      <c r="F88" s="6"/>
      <c r="G88" s="6"/>
      <c r="H88" s="32"/>
    </row>
    <row r="89" spans="1:8" x14ac:dyDescent="0.25">
      <c r="A89" s="31"/>
      <c r="B89" s="6"/>
      <c r="C89" s="6"/>
      <c r="D89" s="6"/>
      <c r="E89" s="6"/>
      <c r="F89" s="6"/>
      <c r="G89" s="6"/>
      <c r="H89" s="32"/>
    </row>
    <row r="90" spans="1:8" x14ac:dyDescent="0.25">
      <c r="A90" s="31"/>
      <c r="B90" s="6"/>
      <c r="C90" s="6"/>
      <c r="D90" s="6"/>
      <c r="E90" s="6"/>
      <c r="F90" s="6"/>
      <c r="G90" s="6"/>
      <c r="H90" s="32"/>
    </row>
    <row r="91" spans="1:8" x14ac:dyDescent="0.25">
      <c r="A91" s="31"/>
      <c r="B91" s="6"/>
      <c r="C91" s="6"/>
      <c r="D91" s="6"/>
      <c r="E91" s="6"/>
      <c r="F91" s="6"/>
      <c r="G91" s="6"/>
      <c r="H91" s="32"/>
    </row>
    <row r="92" spans="1:8" x14ac:dyDescent="0.25">
      <c r="A92" s="31"/>
      <c r="B92" s="6"/>
      <c r="C92" s="6"/>
      <c r="D92" s="6"/>
      <c r="E92" s="6"/>
      <c r="F92" s="6"/>
      <c r="G92" s="6"/>
      <c r="H92" s="32"/>
    </row>
    <row r="93" spans="1:8" x14ac:dyDescent="0.25">
      <c r="A93" s="31"/>
      <c r="B93" s="6"/>
      <c r="C93" s="6"/>
      <c r="D93" s="6"/>
      <c r="E93" s="6"/>
      <c r="F93" s="6"/>
      <c r="G93" s="6"/>
      <c r="H93" s="32"/>
    </row>
    <row r="94" spans="1:8" x14ac:dyDescent="0.25">
      <c r="A94" s="31"/>
      <c r="B94" s="6"/>
      <c r="C94" s="6"/>
      <c r="D94" s="6"/>
      <c r="E94" s="6"/>
      <c r="F94" s="6"/>
      <c r="G94" s="6"/>
      <c r="H94" s="32"/>
    </row>
    <row r="95" spans="1:8" x14ac:dyDescent="0.25">
      <c r="A95" s="31"/>
      <c r="B95" s="6"/>
      <c r="C95" s="6"/>
      <c r="D95" s="6"/>
      <c r="E95" s="6"/>
      <c r="F95" s="6"/>
      <c r="G95" s="6"/>
      <c r="H95" s="32"/>
    </row>
    <row r="96" spans="1:8" x14ac:dyDescent="0.25">
      <c r="A96" s="31"/>
      <c r="B96" s="6"/>
      <c r="C96" s="6"/>
      <c r="D96" s="6"/>
      <c r="E96" s="6"/>
      <c r="F96" s="6"/>
      <c r="G96" s="6"/>
      <c r="H96" s="32"/>
    </row>
    <row r="97" spans="1:8" x14ac:dyDescent="0.25">
      <c r="A97" s="31"/>
      <c r="B97" s="6"/>
      <c r="C97" s="6"/>
      <c r="D97" s="6"/>
      <c r="E97" s="6"/>
      <c r="F97" s="6"/>
      <c r="G97" s="6"/>
      <c r="H97" s="32"/>
    </row>
    <row r="98" spans="1:8" x14ac:dyDescent="0.25">
      <c r="A98" s="31"/>
      <c r="B98" s="6"/>
      <c r="C98" s="6"/>
      <c r="D98" s="6"/>
      <c r="E98" s="6"/>
      <c r="F98" s="6"/>
      <c r="G98" s="6"/>
      <c r="H98" s="32"/>
    </row>
    <row r="99" spans="1:8" x14ac:dyDescent="0.25">
      <c r="A99" s="31"/>
      <c r="B99" s="6"/>
      <c r="C99" s="6"/>
      <c r="D99" s="6"/>
      <c r="E99" s="6"/>
      <c r="F99" s="6"/>
      <c r="G99" s="6"/>
      <c r="H99" s="32"/>
    </row>
    <row r="100" spans="1:8" x14ac:dyDescent="0.25">
      <c r="A100" s="31"/>
      <c r="B100" s="6"/>
      <c r="C100" s="6"/>
      <c r="D100" s="6"/>
      <c r="E100" s="6"/>
      <c r="F100" s="6"/>
      <c r="G100" s="6"/>
      <c r="H100" s="32"/>
    </row>
    <row r="101" spans="1:8" x14ac:dyDescent="0.25">
      <c r="A101" s="31"/>
      <c r="B101" s="6"/>
      <c r="C101" s="6"/>
      <c r="D101" s="6"/>
      <c r="E101" s="6"/>
      <c r="F101" s="6"/>
      <c r="G101" s="6"/>
      <c r="H101" s="32"/>
    </row>
    <row r="102" spans="1:8" x14ac:dyDescent="0.25">
      <c r="A102" s="31"/>
      <c r="B102" s="6"/>
      <c r="C102" s="6"/>
      <c r="D102" s="6"/>
      <c r="E102" s="6"/>
      <c r="F102" s="6"/>
      <c r="G102" s="6"/>
      <c r="H102" s="32"/>
    </row>
    <row r="103" spans="1:8" x14ac:dyDescent="0.25">
      <c r="A103" s="31"/>
      <c r="B103" s="6"/>
      <c r="C103" s="6"/>
      <c r="D103" s="6"/>
      <c r="E103" s="6"/>
      <c r="F103" s="6"/>
      <c r="G103" s="6"/>
      <c r="H103" s="32"/>
    </row>
    <row r="104" spans="1:8" ht="15.75" thickBot="1" x14ac:dyDescent="0.3">
      <c r="A104" s="33"/>
      <c r="B104" s="34"/>
      <c r="C104" s="34"/>
      <c r="D104" s="34"/>
      <c r="E104" s="34"/>
      <c r="F104" s="34"/>
      <c r="G104" s="34"/>
      <c r="H104" s="35"/>
    </row>
  </sheetData>
  <mergeCells count="24">
    <mergeCell ref="E10:F10"/>
    <mergeCell ref="E11:G11"/>
    <mergeCell ref="O28:P28"/>
    <mergeCell ref="D1:F1"/>
    <mergeCell ref="A44:B44"/>
    <mergeCell ref="G44:H44"/>
    <mergeCell ref="A11:C11"/>
    <mergeCell ref="A27:B27"/>
    <mergeCell ref="B28:C28"/>
    <mergeCell ref="D28:E28"/>
    <mergeCell ref="G28:J28"/>
    <mergeCell ref="A10:B10"/>
    <mergeCell ref="D2:F2"/>
    <mergeCell ref="D3:F3"/>
    <mergeCell ref="D4:F4"/>
    <mergeCell ref="L28:M28"/>
    <mergeCell ref="J45:K45"/>
    <mergeCell ref="A59:B59"/>
    <mergeCell ref="B60:C60"/>
    <mergeCell ref="E59:F59"/>
    <mergeCell ref="F60:G60"/>
    <mergeCell ref="B45:C45"/>
    <mergeCell ref="D45:E45"/>
    <mergeCell ref="H45:I4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DC1D0-4220-45BE-829C-4DEF8CBBAB8C}">
  <dimension ref="A1:I108"/>
  <sheetViews>
    <sheetView topLeftCell="A76" workbookViewId="0">
      <selection activeCell="E85" sqref="E85"/>
    </sheetView>
  </sheetViews>
  <sheetFormatPr defaultRowHeight="15" x14ac:dyDescent="0.25"/>
  <cols>
    <col min="1" max="1" width="10.28515625" customWidth="1"/>
    <col min="2" max="2" width="12.42578125" customWidth="1"/>
    <col min="3" max="3" width="32.42578125" customWidth="1"/>
    <col min="4" max="4" width="26" customWidth="1"/>
    <col min="5" max="5" width="27" customWidth="1"/>
    <col min="6" max="7" width="15.85546875" customWidth="1"/>
    <col min="8" max="8" width="16.7109375" customWidth="1"/>
    <col min="9" max="9" width="25.85546875" customWidth="1"/>
  </cols>
  <sheetData>
    <row r="1" spans="1:9" ht="15.75" thickBot="1" x14ac:dyDescent="0.3">
      <c r="A1" s="179" t="s">
        <v>26</v>
      </c>
      <c r="B1" s="180"/>
      <c r="C1" s="95">
        <v>1</v>
      </c>
      <c r="D1" s="68" t="s">
        <v>49</v>
      </c>
    </row>
    <row r="3" spans="1:9" x14ac:dyDescent="0.25">
      <c r="A3" s="168" t="s">
        <v>6</v>
      </c>
      <c r="B3" s="168"/>
      <c r="C3" s="168"/>
      <c r="D3" s="168"/>
      <c r="E3" s="7" t="s">
        <v>52</v>
      </c>
    </row>
    <row r="5" spans="1:9" x14ac:dyDescent="0.25">
      <c r="A5" s="103" t="s">
        <v>7</v>
      </c>
    </row>
    <row r="6" spans="1:9" x14ac:dyDescent="0.25">
      <c r="A6">
        <v>1</v>
      </c>
      <c r="B6" s="159" t="s">
        <v>0</v>
      </c>
      <c r="C6" s="159"/>
    </row>
    <row r="8" spans="1:9" x14ac:dyDescent="0.25">
      <c r="A8" s="6"/>
      <c r="B8" s="3" t="s">
        <v>9</v>
      </c>
      <c r="C8" s="96" t="s">
        <v>10</v>
      </c>
    </row>
    <row r="9" spans="1:9" x14ac:dyDescent="0.25">
      <c r="A9" s="6"/>
      <c r="B9" s="3">
        <v>2021</v>
      </c>
      <c r="C9" s="96">
        <v>150</v>
      </c>
    </row>
    <row r="12" spans="1:9" x14ac:dyDescent="0.25">
      <c r="A12">
        <v>2</v>
      </c>
      <c r="B12" s="159" t="s">
        <v>71</v>
      </c>
      <c r="C12" s="159"/>
      <c r="E12" s="108" t="s">
        <v>72</v>
      </c>
      <c r="H12" s="108" t="s">
        <v>73</v>
      </c>
    </row>
    <row r="14" spans="1:9" x14ac:dyDescent="0.25">
      <c r="B14" s="3" t="s">
        <v>11</v>
      </c>
      <c r="C14" s="96" t="s">
        <v>10</v>
      </c>
      <c r="E14" s="3" t="s">
        <v>9</v>
      </c>
      <c r="F14" s="96" t="s">
        <v>10</v>
      </c>
      <c r="H14" s="3" t="s">
        <v>9</v>
      </c>
      <c r="I14" s="96" t="s">
        <v>10</v>
      </c>
    </row>
    <row r="15" spans="1:9" x14ac:dyDescent="0.25">
      <c r="B15" s="3"/>
      <c r="C15" s="97">
        <v>1000</v>
      </c>
      <c r="E15" s="3"/>
      <c r="F15" s="97">
        <v>600</v>
      </c>
      <c r="H15" s="3"/>
      <c r="I15" s="96"/>
    </row>
    <row r="16" spans="1:9" x14ac:dyDescent="0.25">
      <c r="B16" s="3">
        <v>2022</v>
      </c>
      <c r="C16" s="97">
        <f>(1000-2)/10</f>
        <v>99.8</v>
      </c>
      <c r="E16" s="3">
        <v>2022</v>
      </c>
      <c r="F16" s="97">
        <f>$G$33/8</f>
        <v>75</v>
      </c>
      <c r="H16" s="3">
        <v>2022</v>
      </c>
      <c r="I16" s="97">
        <f>C16+F16</f>
        <v>174.8</v>
      </c>
    </row>
    <row r="17" spans="1:9" x14ac:dyDescent="0.25">
      <c r="B17" s="3">
        <v>2023</v>
      </c>
      <c r="C17" s="97">
        <f t="shared" ref="C17:C24" si="0">(1000-2)/10</f>
        <v>99.8</v>
      </c>
      <c r="E17" s="3">
        <v>2023</v>
      </c>
      <c r="F17" s="97">
        <f t="shared" ref="F17:F23" si="1">$G$33/8</f>
        <v>75</v>
      </c>
      <c r="H17" s="3">
        <v>2023</v>
      </c>
      <c r="I17" s="97">
        <f t="shared" ref="I17:I26" si="2">C17+F17</f>
        <v>174.8</v>
      </c>
    </row>
    <row r="18" spans="1:9" x14ac:dyDescent="0.25">
      <c r="B18" s="3">
        <v>2024</v>
      </c>
      <c r="C18" s="97">
        <f t="shared" si="0"/>
        <v>99.8</v>
      </c>
      <c r="E18" s="3">
        <v>2024</v>
      </c>
      <c r="F18" s="97">
        <f t="shared" si="1"/>
        <v>75</v>
      </c>
      <c r="H18" s="3">
        <v>2024</v>
      </c>
      <c r="I18" s="97">
        <f t="shared" si="2"/>
        <v>174.8</v>
      </c>
    </row>
    <row r="19" spans="1:9" x14ac:dyDescent="0.25">
      <c r="B19" s="3">
        <v>2025</v>
      </c>
      <c r="C19" s="97">
        <f t="shared" si="0"/>
        <v>99.8</v>
      </c>
      <c r="E19" s="3">
        <v>2025</v>
      </c>
      <c r="F19" s="97">
        <f t="shared" si="1"/>
        <v>75</v>
      </c>
      <c r="H19" s="3">
        <v>2025</v>
      </c>
      <c r="I19" s="97">
        <f t="shared" si="2"/>
        <v>174.8</v>
      </c>
    </row>
    <row r="20" spans="1:9" x14ac:dyDescent="0.25">
      <c r="B20" s="3">
        <v>2026</v>
      </c>
      <c r="C20" s="97">
        <f t="shared" si="0"/>
        <v>99.8</v>
      </c>
      <c r="E20" s="3">
        <v>2026</v>
      </c>
      <c r="F20" s="97">
        <f t="shared" si="1"/>
        <v>75</v>
      </c>
      <c r="H20" s="3">
        <v>2026</v>
      </c>
      <c r="I20" s="97">
        <f t="shared" si="2"/>
        <v>174.8</v>
      </c>
    </row>
    <row r="21" spans="1:9" x14ac:dyDescent="0.25">
      <c r="B21" s="3">
        <v>2027</v>
      </c>
      <c r="C21" s="97">
        <f t="shared" si="0"/>
        <v>99.8</v>
      </c>
      <c r="E21" s="3">
        <v>2027</v>
      </c>
      <c r="F21" s="97">
        <f t="shared" si="1"/>
        <v>75</v>
      </c>
      <c r="H21" s="3">
        <v>2027</v>
      </c>
      <c r="I21" s="97">
        <f t="shared" si="2"/>
        <v>174.8</v>
      </c>
    </row>
    <row r="22" spans="1:9" x14ac:dyDescent="0.25">
      <c r="B22" s="3">
        <v>2028</v>
      </c>
      <c r="C22" s="97">
        <f t="shared" si="0"/>
        <v>99.8</v>
      </c>
      <c r="E22" s="3">
        <v>2028</v>
      </c>
      <c r="F22" s="97">
        <f t="shared" si="1"/>
        <v>75</v>
      </c>
      <c r="H22" s="3">
        <v>2028</v>
      </c>
      <c r="I22" s="97">
        <f t="shared" si="2"/>
        <v>174.8</v>
      </c>
    </row>
    <row r="23" spans="1:9" x14ac:dyDescent="0.25">
      <c r="B23" s="3">
        <v>2029</v>
      </c>
      <c r="C23" s="97">
        <f t="shared" si="0"/>
        <v>99.8</v>
      </c>
      <c r="E23" s="3">
        <v>2029</v>
      </c>
      <c r="F23" s="97">
        <f t="shared" si="1"/>
        <v>75</v>
      </c>
      <c r="H23" s="3">
        <v>2029</v>
      </c>
      <c r="I23" s="97">
        <f t="shared" si="2"/>
        <v>174.8</v>
      </c>
    </row>
    <row r="24" spans="1:9" x14ac:dyDescent="0.25">
      <c r="B24" s="3">
        <v>2030</v>
      </c>
      <c r="C24" s="97">
        <f t="shared" si="0"/>
        <v>99.8</v>
      </c>
      <c r="E24" s="3">
        <v>2030</v>
      </c>
      <c r="F24" s="97">
        <f>$F$41/8</f>
        <v>84.48694399464803</v>
      </c>
      <c r="H24" s="3">
        <v>2030</v>
      </c>
      <c r="I24" s="97">
        <f>C24+F24</f>
        <v>184.28694399464803</v>
      </c>
    </row>
    <row r="25" spans="1:9" x14ac:dyDescent="0.25">
      <c r="B25" s="3">
        <v>2031</v>
      </c>
      <c r="C25" s="97">
        <v>99.8</v>
      </c>
      <c r="E25" s="3">
        <v>2031</v>
      </c>
      <c r="F25" s="97">
        <f t="shared" ref="F25:F26" si="3">$F$41/8</f>
        <v>84.48694399464803</v>
      </c>
      <c r="H25" s="3">
        <v>2031</v>
      </c>
      <c r="I25" s="97">
        <f t="shared" si="2"/>
        <v>184.28694399464803</v>
      </c>
    </row>
    <row r="26" spans="1:9" x14ac:dyDescent="0.25">
      <c r="B26" s="1" t="s">
        <v>79</v>
      </c>
      <c r="C26" s="111">
        <f>C15-SUM(C16:C25)</f>
        <v>2.0000000000002274</v>
      </c>
      <c r="E26" s="3">
        <v>2032</v>
      </c>
      <c r="F26" s="97">
        <f t="shared" si="3"/>
        <v>84.48694399464803</v>
      </c>
      <c r="H26" s="3">
        <v>2032</v>
      </c>
      <c r="I26" s="97">
        <f t="shared" si="2"/>
        <v>86.486943994648257</v>
      </c>
    </row>
    <row r="27" spans="1:9" x14ac:dyDescent="0.25">
      <c r="E27" t="s">
        <v>79</v>
      </c>
      <c r="F27" s="101">
        <f>F15-SUM(F16:F23)+675-SUM(F24+F25+F26)</f>
        <v>421.5391680160559</v>
      </c>
      <c r="H27" t="s">
        <v>81</v>
      </c>
      <c r="I27" s="101">
        <f>C26+F27</f>
        <v>423.53916801605612</v>
      </c>
    </row>
    <row r="29" spans="1:9" x14ac:dyDescent="0.25">
      <c r="A29">
        <v>3</v>
      </c>
      <c r="B29" s="159" t="s">
        <v>42</v>
      </c>
      <c r="C29" s="159"/>
      <c r="D29" s="159"/>
      <c r="E29" s="181" t="s">
        <v>41</v>
      </c>
      <c r="F29" s="181"/>
      <c r="G29" s="181"/>
      <c r="H29" s="181"/>
      <c r="I29" s="181"/>
    </row>
    <row r="30" spans="1:9" ht="15.75" thickBot="1" x14ac:dyDescent="0.3"/>
    <row r="31" spans="1:9" x14ac:dyDescent="0.25">
      <c r="B31" s="3" t="s">
        <v>9</v>
      </c>
      <c r="C31" s="3" t="s">
        <v>12</v>
      </c>
      <c r="D31" s="84" t="s">
        <v>37</v>
      </c>
      <c r="E31" s="84" t="s">
        <v>36</v>
      </c>
      <c r="F31" s="84" t="s">
        <v>39</v>
      </c>
      <c r="G31" s="99" t="s">
        <v>10</v>
      </c>
      <c r="H31" s="8"/>
      <c r="I31" s="90" t="s">
        <v>38</v>
      </c>
    </row>
    <row r="32" spans="1:9" ht="15.75" thickBot="1" x14ac:dyDescent="0.3">
      <c r="B32" s="85">
        <v>2021</v>
      </c>
      <c r="C32" s="85">
        <v>0.65</v>
      </c>
      <c r="D32" s="56">
        <f>'SHEET 1'!B31+'SHEET 1'!C31</f>
        <v>79.650000000000006</v>
      </c>
      <c r="E32" s="3" t="s">
        <v>40</v>
      </c>
      <c r="F32" s="3" t="s">
        <v>40</v>
      </c>
      <c r="G32" s="96"/>
      <c r="H32" s="1"/>
      <c r="I32" s="82">
        <f>D32/C32</f>
        <v>122.53846153846155</v>
      </c>
    </row>
    <row r="33" spans="1:8" x14ac:dyDescent="0.25">
      <c r="B33" s="96">
        <v>2022</v>
      </c>
      <c r="C33" s="96">
        <f>D33/$I$32</f>
        <v>4.0803515379786562E-2</v>
      </c>
      <c r="D33" s="97">
        <f>'SHEET 1'!M32</f>
        <v>5</v>
      </c>
      <c r="E33" s="96">
        <v>0</v>
      </c>
      <c r="F33" s="97">
        <v>600</v>
      </c>
      <c r="G33" s="97">
        <f>F33</f>
        <v>600</v>
      </c>
      <c r="H33" s="91"/>
    </row>
    <row r="34" spans="1:8" x14ac:dyDescent="0.25">
      <c r="B34" s="3">
        <v>2023</v>
      </c>
      <c r="C34" s="3">
        <f>C33+(D34/$I$32)</f>
        <v>9.058249843063404E-2</v>
      </c>
      <c r="D34" s="9">
        <f>'SHEET 1'!M33</f>
        <v>6.0998400000000021</v>
      </c>
      <c r="E34" s="3">
        <v>0</v>
      </c>
      <c r="F34" s="9">
        <f>F33+(F33*'SHEET 1'!$B$8)</f>
        <v>609</v>
      </c>
      <c r="G34" s="97">
        <v>0</v>
      </c>
      <c r="H34" s="91"/>
    </row>
    <row r="35" spans="1:8" x14ac:dyDescent="0.25">
      <c r="B35" s="3">
        <v>2024</v>
      </c>
      <c r="C35" s="3">
        <f t="shared" ref="C35:C43" si="4">C34+(D35/$I$32)</f>
        <v>0.15062610521029504</v>
      </c>
      <c r="D35" s="9">
        <f>'SHEET 1'!M34</f>
        <v>7.3576511999999994</v>
      </c>
      <c r="E35" s="3">
        <v>0</v>
      </c>
      <c r="F35" s="9">
        <f>F34+(F34*'SHEET 1'!$B$8)</f>
        <v>618.13499999999999</v>
      </c>
      <c r="G35" s="97">
        <v>0</v>
      </c>
      <c r="H35" s="91"/>
    </row>
    <row r="36" spans="1:8" x14ac:dyDescent="0.25">
      <c r="B36" s="3">
        <v>2025</v>
      </c>
      <c r="C36" s="3">
        <f t="shared" si="4"/>
        <v>0.22238373612554929</v>
      </c>
      <c r="D36" s="9">
        <f>'SHEET 1'!M35</f>
        <v>8.7930696960000034</v>
      </c>
      <c r="E36" s="3">
        <v>0</v>
      </c>
      <c r="F36" s="9">
        <f>F35+(F35*'SHEET 1'!$B$8)</f>
        <v>627.40702499999998</v>
      </c>
      <c r="G36" s="97">
        <v>0</v>
      </c>
      <c r="H36" s="91"/>
    </row>
    <row r="37" spans="1:8" x14ac:dyDescent="0.25">
      <c r="B37" s="3">
        <v>2026</v>
      </c>
      <c r="C37" s="3">
        <f t="shared" si="4"/>
        <v>0.30748356666656623</v>
      </c>
      <c r="D37" s="9">
        <f>'SHEET 1'!M36</f>
        <v>10.42800231168</v>
      </c>
      <c r="E37" s="3">
        <v>0</v>
      </c>
      <c r="F37" s="9">
        <f>F36+(F36*'SHEET 1'!$B$8)</f>
        <v>636.81813037500001</v>
      </c>
      <c r="G37" s="97">
        <v>0</v>
      </c>
      <c r="H37" s="91"/>
    </row>
    <row r="38" spans="1:8" x14ac:dyDescent="0.25">
      <c r="B38" s="3">
        <v>2027</v>
      </c>
      <c r="C38" s="3">
        <f t="shared" si="4"/>
        <v>0.40775313171866118</v>
      </c>
      <c r="D38" s="9">
        <f>'SHEET 1'!M37</f>
        <v>12.286878240614403</v>
      </c>
      <c r="E38" s="3">
        <v>0</v>
      </c>
      <c r="F38" s="9">
        <f>F37+(F37*'SHEET 1'!$B$8)</f>
        <v>646.37040233062498</v>
      </c>
      <c r="G38" s="97">
        <v>0</v>
      </c>
      <c r="H38" s="91"/>
    </row>
    <row r="39" spans="1:8" x14ac:dyDescent="0.25">
      <c r="B39" s="3">
        <v>2028</v>
      </c>
      <c r="C39" s="3">
        <f t="shared" si="4"/>
        <v>0.52524218484950003</v>
      </c>
      <c r="D39" s="9">
        <f>'SHEET 1'!M38</f>
        <v>14.396927818263556</v>
      </c>
      <c r="E39" s="3">
        <v>0</v>
      </c>
      <c r="F39" s="9">
        <f>F38+(F38*'SHEET 1'!$B$8)</f>
        <v>656.06595836558438</v>
      </c>
      <c r="G39" s="97">
        <v>0</v>
      </c>
      <c r="H39" s="91"/>
    </row>
    <row r="40" spans="1:8" x14ac:dyDescent="0.25">
      <c r="B40" s="3">
        <v>2029</v>
      </c>
      <c r="C40" s="3">
        <f t="shared" si="4"/>
        <v>0.66224807739283975</v>
      </c>
      <c r="D40" s="9">
        <f>'SHEET 1'!M39</f>
        <v>16.788491293964633</v>
      </c>
      <c r="E40" s="3">
        <v>0</v>
      </c>
      <c r="F40" s="9">
        <f>F39+(F39*'SHEET 1'!$B$8)</f>
        <v>665.90694774106817</v>
      </c>
      <c r="G40" s="97">
        <v>0</v>
      </c>
      <c r="H40" s="91"/>
    </row>
    <row r="41" spans="1:8" x14ac:dyDescent="0.25">
      <c r="B41" s="86">
        <v>2030</v>
      </c>
      <c r="C41" s="93">
        <f t="shared" si="4"/>
        <v>0.82134392801788403</v>
      </c>
      <c r="D41" s="87">
        <f>'SHEET 1'!M40</f>
        <v>19.495360772745812</v>
      </c>
      <c r="E41" s="88">
        <v>1</v>
      </c>
      <c r="F41" s="89">
        <f>F40+(F40*'SHEET 1'!$B$8)</f>
        <v>675.89555195718424</v>
      </c>
      <c r="G41" s="98">
        <f>F41</f>
        <v>675.89555195718424</v>
      </c>
      <c r="H41" s="92"/>
    </row>
    <row r="42" spans="1:8" x14ac:dyDescent="0.25">
      <c r="B42" s="3">
        <v>2031</v>
      </c>
      <c r="C42" s="3">
        <f t="shared" si="4"/>
        <v>1.005409882038993</v>
      </c>
      <c r="D42" s="9">
        <f>'SHEET 1'!M41</f>
        <v>22.555158827355882</v>
      </c>
      <c r="E42" s="3">
        <v>0</v>
      </c>
      <c r="F42" s="9">
        <f>F41+(F41*'SHEET 1'!$B$8)</f>
        <v>686.03398523654198</v>
      </c>
      <c r="G42" s="97">
        <v>0</v>
      </c>
      <c r="H42" s="91"/>
    </row>
    <row r="43" spans="1:8" x14ac:dyDescent="0.25">
      <c r="B43" s="3">
        <v>2032</v>
      </c>
      <c r="C43" s="3">
        <f t="shared" si="4"/>
        <v>1.2176677912624576</v>
      </c>
      <c r="D43" s="9">
        <f>'SHEET 1'!M42</f>
        <v>26.009757645613796</v>
      </c>
      <c r="E43" s="3">
        <v>0</v>
      </c>
      <c r="F43" s="9">
        <f>F42+(F42*'SHEET 1'!$B$8)</f>
        <v>696.32449501509006</v>
      </c>
      <c r="G43" s="97">
        <v>0</v>
      </c>
      <c r="H43" s="91"/>
    </row>
    <row r="45" spans="1:8" x14ac:dyDescent="0.25">
      <c r="A45">
        <v>4</v>
      </c>
      <c r="B45" s="159" t="s">
        <v>43</v>
      </c>
      <c r="C45" s="159"/>
    </row>
    <row r="47" spans="1:8" x14ac:dyDescent="0.25">
      <c r="B47" s="3" t="s">
        <v>9</v>
      </c>
      <c r="C47" s="96" t="s">
        <v>10</v>
      </c>
    </row>
    <row r="48" spans="1:8" x14ac:dyDescent="0.25">
      <c r="B48" s="85"/>
      <c r="C48" s="100"/>
    </row>
    <row r="49" spans="1:5" x14ac:dyDescent="0.25">
      <c r="B49" s="3">
        <v>2022</v>
      </c>
      <c r="C49" s="97">
        <v>40</v>
      </c>
    </row>
    <row r="50" spans="1:5" x14ac:dyDescent="0.25">
      <c r="B50" s="3">
        <v>2023</v>
      </c>
      <c r="C50" s="97">
        <f>40+(C49)</f>
        <v>80</v>
      </c>
    </row>
    <row r="51" spans="1:5" x14ac:dyDescent="0.25">
      <c r="B51" s="3">
        <v>2024</v>
      </c>
      <c r="C51" s="97">
        <f>C50+(C50*0.1)</f>
        <v>88</v>
      </c>
    </row>
    <row r="52" spans="1:5" x14ac:dyDescent="0.25">
      <c r="B52" s="3">
        <v>2025</v>
      </c>
      <c r="C52" s="97">
        <f t="shared" ref="C52:C59" si="5">C51+(C51*0.1)</f>
        <v>96.8</v>
      </c>
    </row>
    <row r="53" spans="1:5" x14ac:dyDescent="0.25">
      <c r="B53" s="3">
        <v>2026</v>
      </c>
      <c r="C53" s="97">
        <f t="shared" si="5"/>
        <v>106.47999999999999</v>
      </c>
    </row>
    <row r="54" spans="1:5" x14ac:dyDescent="0.25">
      <c r="B54" s="3">
        <v>2027</v>
      </c>
      <c r="C54" s="97">
        <f t="shared" si="5"/>
        <v>117.12799999999999</v>
      </c>
    </row>
    <row r="55" spans="1:5" x14ac:dyDescent="0.25">
      <c r="B55" s="3">
        <v>2028</v>
      </c>
      <c r="C55" s="97">
        <f t="shared" si="5"/>
        <v>128.84079999999997</v>
      </c>
    </row>
    <row r="56" spans="1:5" x14ac:dyDescent="0.25">
      <c r="B56" s="3">
        <v>2029</v>
      </c>
      <c r="C56" s="97">
        <f t="shared" si="5"/>
        <v>141.72487999999998</v>
      </c>
    </row>
    <row r="57" spans="1:5" x14ac:dyDescent="0.25">
      <c r="B57" s="3">
        <v>2030</v>
      </c>
      <c r="C57" s="97">
        <f t="shared" si="5"/>
        <v>155.89736799999997</v>
      </c>
    </row>
    <row r="58" spans="1:5" x14ac:dyDescent="0.25">
      <c r="B58" s="3">
        <v>2031</v>
      </c>
      <c r="C58" s="97">
        <f t="shared" si="5"/>
        <v>171.48710479999997</v>
      </c>
    </row>
    <row r="59" spans="1:5" x14ac:dyDescent="0.25">
      <c r="B59" s="3">
        <v>2032</v>
      </c>
      <c r="C59" s="97">
        <f t="shared" si="5"/>
        <v>188.63581527999997</v>
      </c>
    </row>
    <row r="61" spans="1:5" x14ac:dyDescent="0.25">
      <c r="A61">
        <v>5</v>
      </c>
      <c r="B61" s="159" t="s">
        <v>44</v>
      </c>
      <c r="C61" s="159"/>
    </row>
    <row r="63" spans="1:5" x14ac:dyDescent="0.25">
      <c r="B63" s="3" t="s">
        <v>9</v>
      </c>
      <c r="C63" s="182" t="s">
        <v>45</v>
      </c>
      <c r="D63" s="182"/>
      <c r="E63" s="96" t="s">
        <v>10</v>
      </c>
    </row>
    <row r="64" spans="1:5" x14ac:dyDescent="0.25">
      <c r="B64" s="3"/>
      <c r="C64" s="94" t="s">
        <v>46</v>
      </c>
      <c r="D64" s="94" t="s">
        <v>47</v>
      </c>
      <c r="E64" s="96" t="s">
        <v>48</v>
      </c>
    </row>
    <row r="65" spans="1:5" x14ac:dyDescent="0.25">
      <c r="B65" s="85"/>
      <c r="C65" s="85"/>
      <c r="D65" s="3"/>
      <c r="E65" s="96"/>
    </row>
    <row r="66" spans="1:5" x14ac:dyDescent="0.25">
      <c r="B66" s="3">
        <v>2022</v>
      </c>
      <c r="C66" s="3">
        <v>500</v>
      </c>
      <c r="D66" s="9">
        <f>C66+(C66*0.15)</f>
        <v>575</v>
      </c>
      <c r="E66" s="97">
        <f>D66-C66</f>
        <v>75</v>
      </c>
    </row>
    <row r="67" spans="1:5" x14ac:dyDescent="0.25">
      <c r="B67" s="3">
        <v>2023</v>
      </c>
      <c r="C67" s="3">
        <f t="shared" ref="C67:C76" si="6">C66+(C66*0.05)</f>
        <v>525</v>
      </c>
      <c r="D67" s="9">
        <f t="shared" ref="D67:D76" si="7">C67+(C67*0.15)</f>
        <v>603.75</v>
      </c>
      <c r="E67" s="97">
        <f t="shared" ref="E67:E76" si="8">D67-C67</f>
        <v>78.75</v>
      </c>
    </row>
    <row r="68" spans="1:5" x14ac:dyDescent="0.25">
      <c r="B68" s="3">
        <v>2024</v>
      </c>
      <c r="C68" s="3">
        <f t="shared" si="6"/>
        <v>551.25</v>
      </c>
      <c r="D68" s="9">
        <f t="shared" si="7"/>
        <v>633.9375</v>
      </c>
      <c r="E68" s="97">
        <f t="shared" si="8"/>
        <v>82.6875</v>
      </c>
    </row>
    <row r="69" spans="1:5" x14ac:dyDescent="0.25">
      <c r="B69" s="3">
        <v>2025</v>
      </c>
      <c r="C69" s="3">
        <f t="shared" si="6"/>
        <v>578.8125</v>
      </c>
      <c r="D69" s="9">
        <f t="shared" si="7"/>
        <v>665.63437499999998</v>
      </c>
      <c r="E69" s="97">
        <f t="shared" si="8"/>
        <v>86.821874999999977</v>
      </c>
    </row>
    <row r="70" spans="1:5" x14ac:dyDescent="0.25">
      <c r="B70" s="3">
        <v>2026</v>
      </c>
      <c r="C70" s="3">
        <f t="shared" si="6"/>
        <v>607.75312499999995</v>
      </c>
      <c r="D70" s="9">
        <f t="shared" si="7"/>
        <v>698.91609374999996</v>
      </c>
      <c r="E70" s="97">
        <f t="shared" si="8"/>
        <v>91.162968750000005</v>
      </c>
    </row>
    <row r="71" spans="1:5" x14ac:dyDescent="0.25">
      <c r="B71" s="3">
        <v>2027</v>
      </c>
      <c r="C71" s="3">
        <f t="shared" si="6"/>
        <v>638.14078124999992</v>
      </c>
      <c r="D71" s="9">
        <f t="shared" si="7"/>
        <v>733.86189843749992</v>
      </c>
      <c r="E71" s="97">
        <f t="shared" si="8"/>
        <v>95.721117187499999</v>
      </c>
    </row>
    <row r="72" spans="1:5" x14ac:dyDescent="0.25">
      <c r="B72" s="3">
        <v>2028</v>
      </c>
      <c r="C72" s="3">
        <f t="shared" si="6"/>
        <v>670.04782031249988</v>
      </c>
      <c r="D72" s="9">
        <f t="shared" si="7"/>
        <v>770.55499335937486</v>
      </c>
      <c r="E72" s="97">
        <f t="shared" si="8"/>
        <v>100.50717304687498</v>
      </c>
    </row>
    <row r="73" spans="1:5" x14ac:dyDescent="0.25">
      <c r="B73" s="3">
        <v>2029</v>
      </c>
      <c r="C73" s="3">
        <f t="shared" si="6"/>
        <v>703.55021132812487</v>
      </c>
      <c r="D73" s="9">
        <f t="shared" si="7"/>
        <v>809.08274302734355</v>
      </c>
      <c r="E73" s="97">
        <f t="shared" si="8"/>
        <v>105.53253169921868</v>
      </c>
    </row>
    <row r="74" spans="1:5" x14ac:dyDescent="0.25">
      <c r="B74" s="3">
        <v>2030</v>
      </c>
      <c r="C74" s="3">
        <f t="shared" si="6"/>
        <v>738.7277218945311</v>
      </c>
      <c r="D74" s="9">
        <f t="shared" si="7"/>
        <v>849.53688017871082</v>
      </c>
      <c r="E74" s="97">
        <f t="shared" si="8"/>
        <v>110.80915828417972</v>
      </c>
    </row>
    <row r="75" spans="1:5" x14ac:dyDescent="0.25">
      <c r="B75" s="3">
        <v>2031</v>
      </c>
      <c r="C75" s="3">
        <f t="shared" si="6"/>
        <v>775.66410798925767</v>
      </c>
      <c r="D75" s="9">
        <f t="shared" si="7"/>
        <v>892.01372418764629</v>
      </c>
      <c r="E75" s="97">
        <f t="shared" si="8"/>
        <v>116.34961619838862</v>
      </c>
    </row>
    <row r="76" spans="1:5" x14ac:dyDescent="0.25">
      <c r="B76" s="3">
        <v>2032</v>
      </c>
      <c r="C76" s="3">
        <f t="shared" si="6"/>
        <v>814.44731338872054</v>
      </c>
      <c r="D76" s="9">
        <f t="shared" si="7"/>
        <v>936.61441039702868</v>
      </c>
      <c r="E76" s="97">
        <f t="shared" si="8"/>
        <v>122.16709700830813</v>
      </c>
    </row>
    <row r="78" spans="1:5" x14ac:dyDescent="0.25">
      <c r="A78">
        <v>6</v>
      </c>
      <c r="B78" s="159" t="s">
        <v>19</v>
      </c>
      <c r="C78" s="159"/>
      <c r="D78" t="s">
        <v>50</v>
      </c>
    </row>
    <row r="80" spans="1:5" x14ac:dyDescent="0.25">
      <c r="B80" s="183"/>
      <c r="C80" s="183"/>
      <c r="D80" s="1"/>
    </row>
    <row r="81" spans="1:4" x14ac:dyDescent="0.25">
      <c r="B81" s="190" t="s">
        <v>9</v>
      </c>
      <c r="C81" s="191" t="s">
        <v>34</v>
      </c>
      <c r="D81" s="191"/>
    </row>
    <row r="82" spans="1:4" x14ac:dyDescent="0.25">
      <c r="B82" s="3"/>
      <c r="C82" s="110" t="s">
        <v>16</v>
      </c>
      <c r="D82" s="190" t="s">
        <v>1</v>
      </c>
    </row>
    <row r="83" spans="1:4" x14ac:dyDescent="0.25">
      <c r="B83" s="3">
        <v>2022</v>
      </c>
      <c r="C83" s="9">
        <v>0</v>
      </c>
      <c r="D83" s="192">
        <v>108</v>
      </c>
    </row>
    <row r="84" spans="1:4" x14ac:dyDescent="0.25">
      <c r="B84" s="3">
        <v>2023</v>
      </c>
      <c r="C84" s="9">
        <v>0</v>
      </c>
      <c r="D84" s="192">
        <v>152.4858048000001</v>
      </c>
    </row>
    <row r="85" spans="1:4" x14ac:dyDescent="0.25">
      <c r="B85" s="3">
        <v>2024</v>
      </c>
      <c r="C85" s="9">
        <v>0</v>
      </c>
      <c r="D85" s="192">
        <v>205.22335188095985</v>
      </c>
    </row>
    <row r="86" spans="1:4" x14ac:dyDescent="0.25">
      <c r="B86" s="3">
        <v>2025</v>
      </c>
      <c r="C86" s="9">
        <v>0</v>
      </c>
      <c r="D86" s="192">
        <v>267.46922106590546</v>
      </c>
    </row>
    <row r="87" spans="1:4" x14ac:dyDescent="0.25">
      <c r="B87" s="3">
        <v>2026</v>
      </c>
      <c r="C87" s="9">
        <v>0</v>
      </c>
      <c r="D87" s="192">
        <v>340.65478695495267</v>
      </c>
    </row>
    <row r="88" spans="1:4" x14ac:dyDescent="0.25">
      <c r="B88" s="3">
        <v>2027</v>
      </c>
      <c r="C88" s="9">
        <v>0</v>
      </c>
      <c r="D88" s="192">
        <v>426.40931490734874</v>
      </c>
    </row>
    <row r="89" spans="1:4" x14ac:dyDescent="0.25">
      <c r="B89" s="3">
        <v>2028</v>
      </c>
      <c r="C89" s="9">
        <v>0</v>
      </c>
      <c r="D89" s="192">
        <v>526.58601056137968</v>
      </c>
    </row>
    <row r="90" spans="1:4" x14ac:dyDescent="0.25">
      <c r="B90" s="3">
        <v>2029</v>
      </c>
      <c r="C90" s="9">
        <v>0</v>
      </c>
      <c r="D90" s="192">
        <v>643.29139226606048</v>
      </c>
    </row>
    <row r="91" spans="1:4" x14ac:dyDescent="0.25">
      <c r="B91" s="3">
        <v>2030</v>
      </c>
      <c r="C91" s="9">
        <v>0</v>
      </c>
      <c r="D91" s="192">
        <v>778.9184012631631</v>
      </c>
    </row>
    <row r="92" spans="1:4" x14ac:dyDescent="0.25">
      <c r="B92" s="3">
        <v>2031</v>
      </c>
      <c r="C92" s="9">
        <v>0</v>
      </c>
      <c r="D92" s="192">
        <v>936.18371545340688</v>
      </c>
    </row>
    <row r="93" spans="1:4" x14ac:dyDescent="0.25">
      <c r="B93" s="3">
        <v>2032</v>
      </c>
      <c r="C93" s="9">
        <v>0</v>
      </c>
      <c r="D93" s="192">
        <v>1118.1697897734384</v>
      </c>
    </row>
    <row r="95" spans="1:4" x14ac:dyDescent="0.25">
      <c r="A95" s="156"/>
      <c r="B95" s="1"/>
      <c r="C95" s="1"/>
    </row>
    <row r="96" spans="1:4" x14ac:dyDescent="0.25">
      <c r="A96" s="1"/>
      <c r="B96" s="1"/>
      <c r="C96" s="1"/>
    </row>
    <row r="97" spans="1:3" x14ac:dyDescent="0.25">
      <c r="A97" s="1"/>
      <c r="B97" s="1"/>
      <c r="C97" s="91"/>
    </row>
    <row r="98" spans="1:3" x14ac:dyDescent="0.25">
      <c r="A98" s="1"/>
      <c r="B98" s="1"/>
      <c r="C98" s="91"/>
    </row>
    <row r="99" spans="1:3" x14ac:dyDescent="0.25">
      <c r="A99" s="1"/>
      <c r="B99" s="1"/>
      <c r="C99" s="91"/>
    </row>
    <row r="100" spans="1:3" x14ac:dyDescent="0.25">
      <c r="A100" s="1"/>
      <c r="B100" s="1"/>
      <c r="C100" s="91"/>
    </row>
    <row r="101" spans="1:3" x14ac:dyDescent="0.25">
      <c r="A101" s="1"/>
      <c r="B101" s="1"/>
      <c r="C101" s="91"/>
    </row>
    <row r="102" spans="1:3" x14ac:dyDescent="0.25">
      <c r="A102" s="1"/>
      <c r="B102" s="1"/>
      <c r="C102" s="91"/>
    </row>
    <row r="103" spans="1:3" x14ac:dyDescent="0.25">
      <c r="A103" s="1"/>
      <c r="B103" s="1"/>
      <c r="C103" s="91"/>
    </row>
    <row r="104" spans="1:3" x14ac:dyDescent="0.25">
      <c r="A104" s="1"/>
      <c r="B104" s="1"/>
      <c r="C104" s="91"/>
    </row>
    <row r="105" spans="1:3" x14ac:dyDescent="0.25">
      <c r="A105" s="1"/>
      <c r="B105" s="1"/>
      <c r="C105" s="91"/>
    </row>
    <row r="106" spans="1:3" x14ac:dyDescent="0.25">
      <c r="A106" s="1"/>
      <c r="B106" s="1"/>
      <c r="C106" s="91"/>
    </row>
    <row r="107" spans="1:3" x14ac:dyDescent="0.25">
      <c r="A107" s="1"/>
      <c r="B107" s="1"/>
      <c r="C107" s="91"/>
    </row>
    <row r="108" spans="1:3" x14ac:dyDescent="0.25">
      <c r="B108" s="1"/>
      <c r="C108" s="91"/>
    </row>
  </sheetData>
  <mergeCells count="12">
    <mergeCell ref="E29:I29"/>
    <mergeCell ref="B78:C78"/>
    <mergeCell ref="B45:C45"/>
    <mergeCell ref="B61:C61"/>
    <mergeCell ref="C63:D63"/>
    <mergeCell ref="C81:D81"/>
    <mergeCell ref="A1:B1"/>
    <mergeCell ref="A3:D3"/>
    <mergeCell ref="B6:C6"/>
    <mergeCell ref="B12:C12"/>
    <mergeCell ref="B29:D29"/>
    <mergeCell ref="B80:C8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0E0D6-7CD4-444F-9ED4-2A36DD562E3F}">
  <dimension ref="A1:F61"/>
  <sheetViews>
    <sheetView topLeftCell="A13" workbookViewId="0">
      <selection activeCell="C14" sqref="C14:C15"/>
    </sheetView>
  </sheetViews>
  <sheetFormatPr defaultRowHeight="15" x14ac:dyDescent="0.25"/>
  <cols>
    <col min="1" max="1" width="14" customWidth="1"/>
    <col min="2" max="2" width="9" customWidth="1"/>
    <col min="3" max="3" width="13.42578125" customWidth="1"/>
    <col min="6" max="6" width="12.140625" customWidth="1"/>
  </cols>
  <sheetData>
    <row r="1" spans="1:6" ht="15.75" thickBot="1" x14ac:dyDescent="0.3">
      <c r="A1" s="104" t="s">
        <v>26</v>
      </c>
      <c r="B1" s="105"/>
      <c r="C1" s="106">
        <v>1</v>
      </c>
      <c r="D1" s="184" t="s">
        <v>54</v>
      </c>
      <c r="E1" s="185"/>
    </row>
    <row r="3" spans="1:6" x14ac:dyDescent="0.25">
      <c r="A3" s="168" t="s">
        <v>6</v>
      </c>
      <c r="B3" s="168"/>
      <c r="C3" s="168"/>
      <c r="D3" s="168"/>
      <c r="E3" s="186" t="s">
        <v>52</v>
      </c>
      <c r="F3" s="186"/>
    </row>
    <row r="5" spans="1:6" x14ac:dyDescent="0.25">
      <c r="A5" s="103" t="s">
        <v>53</v>
      </c>
      <c r="D5" s="3"/>
    </row>
    <row r="6" spans="1:6" x14ac:dyDescent="0.25">
      <c r="A6">
        <v>1</v>
      </c>
      <c r="B6" s="159" t="s">
        <v>4</v>
      </c>
      <c r="C6" s="159"/>
    </row>
    <row r="8" spans="1:6" x14ac:dyDescent="0.25">
      <c r="B8" s="3" t="s">
        <v>9</v>
      </c>
      <c r="C8" s="96" t="s">
        <v>10</v>
      </c>
    </row>
    <row r="9" spans="1:6" x14ac:dyDescent="0.25">
      <c r="B9" s="3">
        <v>2022</v>
      </c>
      <c r="C9" s="97">
        <v>30</v>
      </c>
    </row>
    <row r="10" spans="1:6" x14ac:dyDescent="0.25">
      <c r="B10" s="3">
        <v>2023</v>
      </c>
      <c r="C10" s="97">
        <f>C9+(C9*0.03)</f>
        <v>30.9</v>
      </c>
    </row>
    <row r="11" spans="1:6" x14ac:dyDescent="0.25">
      <c r="B11" s="3">
        <v>2024</v>
      </c>
      <c r="C11" s="97">
        <f t="shared" ref="C11:C18" si="0">C10+(C10*0.03)</f>
        <v>31.826999999999998</v>
      </c>
    </row>
    <row r="12" spans="1:6" x14ac:dyDescent="0.25">
      <c r="B12" s="3">
        <v>2025</v>
      </c>
      <c r="C12" s="97">
        <f t="shared" si="0"/>
        <v>32.78181</v>
      </c>
    </row>
    <row r="13" spans="1:6" x14ac:dyDescent="0.25">
      <c r="B13" s="3">
        <v>2026</v>
      </c>
      <c r="C13" s="97">
        <f t="shared" si="0"/>
        <v>33.765264299999998</v>
      </c>
    </row>
    <row r="14" spans="1:6" x14ac:dyDescent="0.25">
      <c r="B14" s="3">
        <v>2027</v>
      </c>
      <c r="C14" s="97">
        <f t="shared" si="0"/>
        <v>34.778222229000001</v>
      </c>
    </row>
    <row r="15" spans="1:6" x14ac:dyDescent="0.25">
      <c r="B15" s="3">
        <v>2028</v>
      </c>
      <c r="C15" s="97">
        <f t="shared" si="0"/>
        <v>35.821568895870001</v>
      </c>
    </row>
    <row r="16" spans="1:6" x14ac:dyDescent="0.25">
      <c r="B16" s="3">
        <v>2029</v>
      </c>
      <c r="C16" s="97">
        <f t="shared" si="0"/>
        <v>36.896215962746098</v>
      </c>
    </row>
    <row r="17" spans="1:3" x14ac:dyDescent="0.25">
      <c r="B17" s="3">
        <v>2030</v>
      </c>
      <c r="C17" s="97">
        <f t="shared" si="0"/>
        <v>38.003102441628478</v>
      </c>
    </row>
    <row r="18" spans="1:3" x14ac:dyDescent="0.25">
      <c r="B18" s="3">
        <v>2031</v>
      </c>
      <c r="C18" s="97">
        <f t="shared" si="0"/>
        <v>39.143195514877334</v>
      </c>
    </row>
    <row r="19" spans="1:3" x14ac:dyDescent="0.25">
      <c r="B19" s="3">
        <v>2032</v>
      </c>
      <c r="C19" s="97">
        <f>C18+(C18*0.03)</f>
        <v>40.317491380323652</v>
      </c>
    </row>
    <row r="21" spans="1:3" x14ac:dyDescent="0.25">
      <c r="A21">
        <v>2</v>
      </c>
      <c r="B21" s="159" t="s">
        <v>55</v>
      </c>
      <c r="C21" s="159"/>
    </row>
    <row r="23" spans="1:3" x14ac:dyDescent="0.25">
      <c r="B23" s="3" t="s">
        <v>9</v>
      </c>
      <c r="C23" s="96" t="s">
        <v>10</v>
      </c>
    </row>
    <row r="24" spans="1:3" x14ac:dyDescent="0.25">
      <c r="B24" s="3">
        <v>2022</v>
      </c>
      <c r="C24" s="102">
        <f>100*'SHEET 1'!M32</f>
        <v>500</v>
      </c>
    </row>
    <row r="25" spans="1:3" x14ac:dyDescent="0.25">
      <c r="B25" s="3">
        <v>2023</v>
      </c>
      <c r="C25" s="102">
        <f>100*'SHEET 1'!M33</f>
        <v>609.98400000000026</v>
      </c>
    </row>
    <row r="26" spans="1:3" x14ac:dyDescent="0.25">
      <c r="B26" s="3">
        <v>2024</v>
      </c>
      <c r="C26" s="102">
        <f>100*'SHEET 1'!M34</f>
        <v>735.76511999999991</v>
      </c>
    </row>
    <row r="27" spans="1:3" x14ac:dyDescent="0.25">
      <c r="B27" s="3">
        <v>2025</v>
      </c>
      <c r="C27" s="102">
        <f>100*'SHEET 1'!M35</f>
        <v>879.30696960000034</v>
      </c>
    </row>
    <row r="28" spans="1:3" x14ac:dyDescent="0.25">
      <c r="B28" s="3">
        <v>2026</v>
      </c>
      <c r="C28" s="102">
        <f>100*'SHEET 1'!M36</f>
        <v>1042.800231168</v>
      </c>
    </row>
    <row r="29" spans="1:3" x14ac:dyDescent="0.25">
      <c r="B29" s="3">
        <v>2027</v>
      </c>
      <c r="C29" s="102">
        <f>100*'SHEET 1'!M37</f>
        <v>1228.6878240614403</v>
      </c>
    </row>
    <row r="30" spans="1:3" x14ac:dyDescent="0.25">
      <c r="B30" s="3">
        <v>2028</v>
      </c>
      <c r="C30" s="102">
        <f>100*'SHEET 1'!M38</f>
        <v>1439.6927818263557</v>
      </c>
    </row>
    <row r="31" spans="1:3" x14ac:dyDescent="0.25">
      <c r="B31" s="3">
        <v>2029</v>
      </c>
      <c r="C31" s="102">
        <f>100*'SHEET 1'!M39</f>
        <v>1678.8491293964632</v>
      </c>
    </row>
    <row r="32" spans="1:3" x14ac:dyDescent="0.25">
      <c r="B32" s="3">
        <v>2030</v>
      </c>
      <c r="C32" s="102">
        <f>100*'SHEET 1'!M40</f>
        <v>1949.5360772745812</v>
      </c>
    </row>
    <row r="33" spans="1:3" x14ac:dyDescent="0.25">
      <c r="B33" s="3">
        <v>2031</v>
      </c>
      <c r="C33" s="102">
        <f>100*'SHEET 1'!M41</f>
        <v>2255.5158827355881</v>
      </c>
    </row>
    <row r="34" spans="1:3" x14ac:dyDescent="0.25">
      <c r="B34" s="3">
        <v>2032</v>
      </c>
      <c r="C34" s="102">
        <f>100*'SHEET 1'!M42</f>
        <v>2600.9757645613795</v>
      </c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91"/>
    </row>
    <row r="39" spans="1:3" x14ac:dyDescent="0.25">
      <c r="A39" s="1"/>
      <c r="B39" s="1"/>
      <c r="C39" s="91"/>
    </row>
    <row r="40" spans="1:3" x14ac:dyDescent="0.25">
      <c r="A40" s="1"/>
      <c r="B40" s="1"/>
      <c r="C40" s="91"/>
    </row>
    <row r="41" spans="1:3" x14ac:dyDescent="0.25">
      <c r="A41" s="1"/>
      <c r="B41" s="1"/>
      <c r="C41" s="91"/>
    </row>
    <row r="42" spans="1:3" x14ac:dyDescent="0.25">
      <c r="A42" s="1"/>
      <c r="B42" s="1"/>
      <c r="C42" s="91"/>
    </row>
    <row r="43" spans="1:3" x14ac:dyDescent="0.25">
      <c r="A43" s="1"/>
      <c r="B43" s="1"/>
      <c r="C43" s="91"/>
    </row>
    <row r="44" spans="1:3" x14ac:dyDescent="0.25">
      <c r="A44" s="1"/>
      <c r="B44" s="1"/>
      <c r="C44" s="91"/>
    </row>
    <row r="45" spans="1:3" x14ac:dyDescent="0.25">
      <c r="A45" s="1"/>
      <c r="B45" s="1"/>
      <c r="C45" s="91"/>
    </row>
    <row r="46" spans="1:3" x14ac:dyDescent="0.25">
      <c r="A46" s="1"/>
      <c r="B46" s="1"/>
      <c r="C46" s="91"/>
    </row>
    <row r="47" spans="1:3" x14ac:dyDescent="0.25">
      <c r="A47" s="1"/>
      <c r="B47" s="1"/>
      <c r="C47" s="91"/>
    </row>
    <row r="48" spans="1:3" x14ac:dyDescent="0.25">
      <c r="A48" s="1"/>
      <c r="B48" s="1"/>
      <c r="C48" s="91"/>
    </row>
    <row r="50" spans="1:3" x14ac:dyDescent="0.25">
      <c r="A50" s="1"/>
      <c r="B50" s="1"/>
      <c r="C50" s="1"/>
    </row>
    <row r="51" spans="1:3" x14ac:dyDescent="0.25">
      <c r="A51" s="1"/>
      <c r="B51" s="1"/>
      <c r="C51" s="91"/>
    </row>
    <row r="52" spans="1:3" x14ac:dyDescent="0.25">
      <c r="A52" s="1"/>
      <c r="B52" s="1"/>
      <c r="C52" s="91"/>
    </row>
    <row r="53" spans="1:3" x14ac:dyDescent="0.25">
      <c r="A53" s="1"/>
      <c r="B53" s="1"/>
      <c r="C53" s="91"/>
    </row>
    <row r="54" spans="1:3" x14ac:dyDescent="0.25">
      <c r="A54" s="1"/>
      <c r="B54" s="1"/>
      <c r="C54" s="91"/>
    </row>
    <row r="55" spans="1:3" x14ac:dyDescent="0.25">
      <c r="A55" s="1"/>
      <c r="B55" s="1"/>
      <c r="C55" s="91"/>
    </row>
    <row r="56" spans="1:3" x14ac:dyDescent="0.25">
      <c r="A56" s="1"/>
      <c r="B56" s="1"/>
      <c r="C56" s="91"/>
    </row>
    <row r="57" spans="1:3" x14ac:dyDescent="0.25">
      <c r="A57" s="1"/>
      <c r="B57" s="1"/>
      <c r="C57" s="91"/>
    </row>
    <row r="58" spans="1:3" x14ac:dyDescent="0.25">
      <c r="A58" s="1"/>
      <c r="B58" s="1"/>
      <c r="C58" s="91"/>
    </row>
    <row r="59" spans="1:3" x14ac:dyDescent="0.25">
      <c r="A59" s="1"/>
      <c r="B59" s="1"/>
      <c r="C59" s="91"/>
    </row>
    <row r="60" spans="1:3" x14ac:dyDescent="0.25">
      <c r="A60" s="1"/>
      <c r="B60" s="1"/>
      <c r="C60" s="91"/>
    </row>
    <row r="61" spans="1:3" x14ac:dyDescent="0.25">
      <c r="A61" s="1"/>
      <c r="B61" s="1"/>
      <c r="C61" s="91"/>
    </row>
  </sheetData>
  <mergeCells count="5">
    <mergeCell ref="A3:D3"/>
    <mergeCell ref="D1:E1"/>
    <mergeCell ref="E3:F3"/>
    <mergeCell ref="B6:C6"/>
    <mergeCell ref="B21:C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7FB8F-CE4C-44C2-813E-43191ADF7B18}">
  <dimension ref="A1:M32"/>
  <sheetViews>
    <sheetView workbookViewId="0">
      <pane xSplit="1" ySplit="2" topLeftCell="B7" activePane="bottomRight" state="frozen"/>
      <selection pane="topRight" activeCell="B1" sqref="B1"/>
      <selection pane="bottomLeft" activeCell="A3" sqref="A3"/>
      <selection pane="bottomRight" activeCell="C5" sqref="C5"/>
    </sheetView>
  </sheetViews>
  <sheetFormatPr defaultRowHeight="15" x14ac:dyDescent="0.25"/>
  <cols>
    <col min="1" max="1" width="27.42578125" bestFit="1" customWidth="1"/>
    <col min="2" max="2" width="15.5703125" customWidth="1"/>
    <col min="3" max="3" width="14.42578125" customWidth="1"/>
    <col min="4" max="11" width="12.5703125" bestFit="1" customWidth="1"/>
    <col min="12" max="12" width="12.7109375" customWidth="1"/>
  </cols>
  <sheetData>
    <row r="1" spans="1:13" x14ac:dyDescent="0.25">
      <c r="A1" t="s">
        <v>64</v>
      </c>
      <c r="B1" s="158" t="s">
        <v>9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x14ac:dyDescent="0.25">
      <c r="B2" s="143">
        <v>2022</v>
      </c>
      <c r="C2" s="143">
        <v>2023</v>
      </c>
      <c r="D2" s="143">
        <v>2024</v>
      </c>
      <c r="E2" s="143">
        <v>2025</v>
      </c>
      <c r="F2" s="143">
        <v>2026</v>
      </c>
      <c r="G2" s="143">
        <v>2027</v>
      </c>
      <c r="H2" s="143">
        <v>2028</v>
      </c>
      <c r="I2" s="143">
        <v>2029</v>
      </c>
      <c r="J2" s="143">
        <v>2030</v>
      </c>
      <c r="K2" s="143">
        <v>2031</v>
      </c>
      <c r="L2" s="143">
        <v>2032</v>
      </c>
    </row>
    <row r="3" spans="1:13" x14ac:dyDescent="0.25">
      <c r="A3" t="s">
        <v>102</v>
      </c>
      <c r="B3" s="101">
        <f>'SHEET 1'!G62</f>
        <v>250</v>
      </c>
      <c r="C3" s="101">
        <f>(('SHEET 1'!G63)+(B3*1.5%))</f>
        <v>348.83375999999998</v>
      </c>
      <c r="D3" s="101">
        <f>('SHEET 1'!G64)+(C3*1.5%)</f>
        <v>462.82251715199919</v>
      </c>
      <c r="E3" s="101">
        <f>(('SHEET 1'!G65)+(D3*1.5%))</f>
        <v>597.10122157278306</v>
      </c>
      <c r="F3" s="101">
        <f>(('SHEET 1'!G66)+(E3*1.5%))</f>
        <v>754.75332597570184</v>
      </c>
      <c r="G3" s="101">
        <f>(('SHEET 1'!G67)+(F3*1.5%))</f>
        <v>939.24613011981671</v>
      </c>
      <c r="H3" s="101">
        <f>(('SHEET 1'!G68)+(G3*1.5%))</f>
        <v>1154.5218066000045</v>
      </c>
      <c r="I3" s="101">
        <f>(('SHEET 1'!G69)+(H3*1.5%))</f>
        <v>1405.0602063111064</v>
      </c>
      <c r="J3" s="101">
        <f>(('SHEET 1'!G70)+(I3*1.5%))</f>
        <v>1695.9490513976198</v>
      </c>
      <c r="K3" s="101">
        <f>(('SHEET 1'!G71)+(J3*1.5%))</f>
        <v>2032.9630225838432</v>
      </c>
      <c r="L3" s="101">
        <f>(('SHEET 1'!G72)+(K3*1.5%))</f>
        <v>2422.6528556376466</v>
      </c>
    </row>
    <row r="4" spans="1:13" x14ac:dyDescent="0.25">
      <c r="A4" t="s">
        <v>69</v>
      </c>
      <c r="B4" s="101">
        <f>'Positive Cashflows'!C9</f>
        <v>30</v>
      </c>
      <c r="C4" s="101">
        <f>'Positive Cashflows'!C10</f>
        <v>30.9</v>
      </c>
      <c r="D4" s="101">
        <f>'Positive Cashflows'!C11</f>
        <v>31.826999999999998</v>
      </c>
      <c r="E4" s="101">
        <f>'Positive Cashflows'!C12</f>
        <v>32.78181</v>
      </c>
      <c r="F4" s="101">
        <f>'Positive Cashflows'!C13</f>
        <v>33.765264299999998</v>
      </c>
      <c r="G4" s="101">
        <f>'Positive Cashflows'!C14</f>
        <v>34.778222229000001</v>
      </c>
      <c r="H4" s="101">
        <f>'Positive Cashflows'!C15</f>
        <v>35.821568895870001</v>
      </c>
      <c r="I4" s="101">
        <f>'Positive Cashflows'!C16</f>
        <v>36.896215962746098</v>
      </c>
      <c r="J4" s="101">
        <f>'Positive Cashflows'!C17</f>
        <v>38.003102441628478</v>
      </c>
      <c r="K4" s="101">
        <f>'Positive Cashflows'!C18</f>
        <v>39.143195514877334</v>
      </c>
      <c r="L4" s="101">
        <f>'Positive Cashflows'!C19</f>
        <v>40.317491380323652</v>
      </c>
    </row>
    <row r="5" spans="1:13" x14ac:dyDescent="0.25">
      <c r="A5" s="114" t="s">
        <v>70</v>
      </c>
      <c r="B5" s="115">
        <f>B3+B4</f>
        <v>280</v>
      </c>
      <c r="C5" s="115">
        <f t="shared" ref="C5:J5" si="0">C3+C4</f>
        <v>379.73375999999996</v>
      </c>
      <c r="D5" s="115">
        <f t="shared" si="0"/>
        <v>494.64951715199919</v>
      </c>
      <c r="E5" s="115">
        <f t="shared" si="0"/>
        <v>629.88303157278301</v>
      </c>
      <c r="F5" s="115">
        <f t="shared" si="0"/>
        <v>788.51859027570185</v>
      </c>
      <c r="G5" s="115">
        <f t="shared" si="0"/>
        <v>974.02435234881671</v>
      </c>
      <c r="H5" s="115">
        <f t="shared" si="0"/>
        <v>1190.3433754958746</v>
      </c>
      <c r="I5" s="115">
        <f t="shared" si="0"/>
        <v>1441.9564222738525</v>
      </c>
      <c r="J5" s="115">
        <f t="shared" si="0"/>
        <v>1733.9521538392482</v>
      </c>
      <c r="K5" s="115">
        <f>K3+K4</f>
        <v>2072.1062180987205</v>
      </c>
      <c r="L5" s="115">
        <f t="shared" ref="L5" si="1">L3+L4</f>
        <v>2462.9703470179702</v>
      </c>
    </row>
    <row r="6" spans="1:13" x14ac:dyDescent="0.25"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</row>
    <row r="7" spans="1:13" x14ac:dyDescent="0.25">
      <c r="A7" t="s">
        <v>63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13" x14ac:dyDescent="0.25">
      <c r="A8" t="s">
        <v>62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3" x14ac:dyDescent="0.25">
      <c r="A9" t="s">
        <v>68</v>
      </c>
      <c r="B9" s="101">
        <f>'Negative Cashflows'!E66</f>
        <v>75</v>
      </c>
      <c r="C9" s="101">
        <f>'Negative Cashflows'!E67</f>
        <v>78.75</v>
      </c>
      <c r="D9" s="101">
        <f>'Negative Cashflows'!E68</f>
        <v>82.6875</v>
      </c>
      <c r="E9" s="101">
        <f>'Negative Cashflows'!E69</f>
        <v>86.821874999999977</v>
      </c>
      <c r="F9" s="101">
        <f>'Negative Cashflows'!E70</f>
        <v>91.162968750000005</v>
      </c>
      <c r="G9" s="101">
        <f>'Negative Cashflows'!E71</f>
        <v>95.721117187499999</v>
      </c>
      <c r="H9" s="101">
        <f>'Negative Cashflows'!E72</f>
        <v>100.50717304687498</v>
      </c>
      <c r="I9" s="101">
        <f>'Negative Cashflows'!E73</f>
        <v>105.53253169921868</v>
      </c>
      <c r="J9" s="101">
        <f>'Negative Cashflows'!E74</f>
        <v>110.80915828417972</v>
      </c>
      <c r="K9" s="101">
        <f>'Negative Cashflows'!E75</f>
        <v>116.34961619838862</v>
      </c>
      <c r="L9" s="101">
        <f>'Negative Cashflows'!E76</f>
        <v>122.16709700830813</v>
      </c>
    </row>
    <row r="10" spans="1:13" x14ac:dyDescent="0.25">
      <c r="A10" t="s">
        <v>74</v>
      </c>
      <c r="B10" s="101">
        <f>'Negative Cashflows'!I16</f>
        <v>174.8</v>
      </c>
      <c r="C10" s="101">
        <f>'Negative Cashflows'!I17</f>
        <v>174.8</v>
      </c>
      <c r="D10" s="101">
        <f>'Negative Cashflows'!I18</f>
        <v>174.8</v>
      </c>
      <c r="E10" s="101">
        <f>'Negative Cashflows'!I19</f>
        <v>174.8</v>
      </c>
      <c r="F10" s="101">
        <f>'Negative Cashflows'!I20</f>
        <v>174.8</v>
      </c>
      <c r="G10" s="101">
        <f>'Negative Cashflows'!I21</f>
        <v>174.8</v>
      </c>
      <c r="H10" s="101">
        <f>'Negative Cashflows'!I22</f>
        <v>174.8</v>
      </c>
      <c r="I10" s="101">
        <f>'Negative Cashflows'!I23</f>
        <v>174.8</v>
      </c>
      <c r="J10" s="101">
        <f>'Negative Cashflows'!I24</f>
        <v>184.28694399464803</v>
      </c>
      <c r="K10" s="101">
        <f>'Negative Cashflows'!I25</f>
        <v>184.28694399464803</v>
      </c>
      <c r="L10" s="101">
        <f>'Negative Cashflows'!I25</f>
        <v>184.28694399464803</v>
      </c>
    </row>
    <row r="11" spans="1:13" x14ac:dyDescent="0.25">
      <c r="A11" t="s">
        <v>61</v>
      </c>
      <c r="B11" s="101">
        <f>'SHEET 1'!C62</f>
        <v>108</v>
      </c>
      <c r="C11" s="101">
        <f>(('SHEET 1'!C63)+(0.15*'Question 1 Answer'!B11))</f>
        <v>168.68580480000008</v>
      </c>
      <c r="D11" s="101">
        <f>(('SHEET 1'!C64)+(1.5%*'Question 1 Answer'!C11))</f>
        <v>207.75363895295985</v>
      </c>
      <c r="E11" s="101">
        <f>(('SHEET 1'!C65)+(1.5%*'Question 1 Answer'!D11))</f>
        <v>270.58552565019988</v>
      </c>
      <c r="F11" s="101">
        <f>(('SHEET 1'!C66)+(1.5%*'Question 1 Answer'!E11))</f>
        <v>344.71356983970566</v>
      </c>
      <c r="G11" s="101">
        <f>(('SHEET 1'!C67)+(1.5%*'Question 1 Answer'!F11))</f>
        <v>431.58001845494431</v>
      </c>
      <c r="H11" s="101">
        <f>(('SHEET 1'!C68)+(1.5%*'Question 1 Answer'!G11))</f>
        <v>533.05971083820384</v>
      </c>
      <c r="I11" s="101">
        <f>(('SHEET 1'!C69)+(1.5%*'Question 1 Answer'!H11))</f>
        <v>651.28728792863353</v>
      </c>
      <c r="J11" s="101">
        <f>(('SHEET 1'!C70)+(1.5%*'Question 1 Answer'!I11))</f>
        <v>788.68771058209256</v>
      </c>
      <c r="K11" s="101">
        <f>(('SHEET 1'!C71)+(1.5%*'Question 1 Answer'!J11))</f>
        <v>948.01403111213824</v>
      </c>
      <c r="L11" s="101">
        <f>(('SHEET 1'!C72)+(1.5%*'Question 1 Answer'!K11))</f>
        <v>1132.3900002401206</v>
      </c>
    </row>
    <row r="12" spans="1:13" x14ac:dyDescent="0.25">
      <c r="A12" t="s">
        <v>60</v>
      </c>
      <c r="B12" s="101">
        <f>'Negative Cashflows'!C49</f>
        <v>40</v>
      </c>
      <c r="C12" s="101">
        <f>'Negative Cashflows'!C50</f>
        <v>80</v>
      </c>
      <c r="D12" s="101">
        <f>'Negative Cashflows'!C51</f>
        <v>88</v>
      </c>
      <c r="E12" s="101">
        <f>'Negative Cashflows'!C52</f>
        <v>96.8</v>
      </c>
      <c r="F12" s="101">
        <f>'Negative Cashflows'!C53</f>
        <v>106.47999999999999</v>
      </c>
      <c r="G12" s="101">
        <f>'Negative Cashflows'!C54</f>
        <v>117.12799999999999</v>
      </c>
      <c r="H12" s="101">
        <f>'Negative Cashflows'!C55</f>
        <v>128.84079999999997</v>
      </c>
      <c r="I12" s="101">
        <f>'Negative Cashflows'!C56</f>
        <v>141.72487999999998</v>
      </c>
      <c r="J12" s="101">
        <f>'Negative Cashflows'!C57</f>
        <v>155.89736799999997</v>
      </c>
      <c r="K12" s="101">
        <f>'Negative Cashflows'!C58</f>
        <v>171.48710479999997</v>
      </c>
      <c r="L12" s="101">
        <f>'Negative Cashflows'!C59</f>
        <v>188.63581527999997</v>
      </c>
    </row>
    <row r="13" spans="1:13" x14ac:dyDescent="0.25"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</row>
    <row r="14" spans="1:13" x14ac:dyDescent="0.25">
      <c r="A14" s="114" t="s">
        <v>51</v>
      </c>
      <c r="B14" s="115">
        <f t="shared" ref="B14:L14" si="2">SUM(B9:B13)</f>
        <v>397.8</v>
      </c>
      <c r="C14" s="115">
        <f t="shared" si="2"/>
        <v>502.2358048000001</v>
      </c>
      <c r="D14" s="115">
        <f t="shared" si="2"/>
        <v>553.24113895295989</v>
      </c>
      <c r="E14" s="115">
        <f t="shared" si="2"/>
        <v>629.00740065019977</v>
      </c>
      <c r="F14" s="115">
        <f t="shared" si="2"/>
        <v>717.15653858970563</v>
      </c>
      <c r="G14" s="115">
        <f t="shared" si="2"/>
        <v>819.22913564244436</v>
      </c>
      <c r="H14" s="115">
        <f t="shared" si="2"/>
        <v>937.20768388507872</v>
      </c>
      <c r="I14" s="115">
        <f t="shared" si="2"/>
        <v>1073.3446996278522</v>
      </c>
      <c r="J14" s="115">
        <f t="shared" si="2"/>
        <v>1239.6811808609202</v>
      </c>
      <c r="K14" s="115">
        <f t="shared" si="2"/>
        <v>1420.1376961051749</v>
      </c>
      <c r="L14" s="115">
        <f t="shared" si="2"/>
        <v>1627.4798565230767</v>
      </c>
    </row>
    <row r="15" spans="1:13" x14ac:dyDescent="0.25"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</row>
    <row r="16" spans="1:13" x14ac:dyDescent="0.25">
      <c r="A16" t="s">
        <v>59</v>
      </c>
      <c r="B16" s="101">
        <f t="shared" ref="B16:L16" si="3">B5-B14</f>
        <v>-117.80000000000001</v>
      </c>
      <c r="C16" s="101">
        <f t="shared" si="3"/>
        <v>-122.50204480000014</v>
      </c>
      <c r="D16" s="101">
        <f t="shared" si="3"/>
        <v>-58.591621800960695</v>
      </c>
      <c r="E16" s="101">
        <f t="shared" si="3"/>
        <v>0.87563092258324104</v>
      </c>
      <c r="F16" s="101">
        <f t="shared" si="3"/>
        <v>71.362051685996221</v>
      </c>
      <c r="G16" s="101">
        <f t="shared" si="3"/>
        <v>154.79521670637234</v>
      </c>
      <c r="H16" s="101">
        <f t="shared" si="3"/>
        <v>253.1356916107959</v>
      </c>
      <c r="I16" s="101">
        <f t="shared" si="3"/>
        <v>368.61172264600032</v>
      </c>
      <c r="J16" s="101">
        <f t="shared" si="3"/>
        <v>494.27097297832802</v>
      </c>
      <c r="K16" s="101">
        <f t="shared" si="3"/>
        <v>651.96852199354566</v>
      </c>
      <c r="L16" s="101">
        <f t="shared" si="3"/>
        <v>835.49049049489349</v>
      </c>
    </row>
    <row r="17" spans="1:12" x14ac:dyDescent="0.25">
      <c r="A17" t="s">
        <v>65</v>
      </c>
      <c r="B17" s="4">
        <v>0.1</v>
      </c>
      <c r="C17" s="4">
        <v>0.1</v>
      </c>
      <c r="D17" s="4">
        <v>0.1</v>
      </c>
      <c r="E17" s="4">
        <v>0.1</v>
      </c>
      <c r="F17" s="4">
        <v>0.1</v>
      </c>
      <c r="G17" s="4">
        <v>0.1</v>
      </c>
      <c r="H17" s="4">
        <v>0.1</v>
      </c>
      <c r="I17" s="4">
        <v>0.1</v>
      </c>
      <c r="J17" s="4">
        <v>0.1</v>
      </c>
      <c r="K17" s="4">
        <v>0.1</v>
      </c>
      <c r="L17" s="4">
        <v>0.1</v>
      </c>
    </row>
    <row r="18" spans="1:12" x14ac:dyDescent="0.25">
      <c r="A18" t="s">
        <v>66</v>
      </c>
      <c r="B18" s="101">
        <f t="shared" ref="B18:L18" si="4">IF(B5*B17&gt;B16,0,B5*B17)</f>
        <v>0</v>
      </c>
      <c r="C18" s="101">
        <f t="shared" si="4"/>
        <v>0</v>
      </c>
      <c r="D18" s="101">
        <f t="shared" si="4"/>
        <v>0</v>
      </c>
      <c r="E18" s="101">
        <f t="shared" si="4"/>
        <v>0</v>
      </c>
      <c r="F18" s="101">
        <f t="shared" si="4"/>
        <v>0</v>
      </c>
      <c r="G18" s="101">
        <f t="shared" si="4"/>
        <v>97.402435234881679</v>
      </c>
      <c r="H18" s="101">
        <f t="shared" si="4"/>
        <v>119.03433754958746</v>
      </c>
      <c r="I18" s="101">
        <f t="shared" si="4"/>
        <v>144.19564222738526</v>
      </c>
      <c r="J18" s="101">
        <f t="shared" si="4"/>
        <v>173.39521538392484</v>
      </c>
      <c r="K18" s="101">
        <f t="shared" si="4"/>
        <v>207.21062180987207</v>
      </c>
      <c r="L18" s="101">
        <f t="shared" si="4"/>
        <v>246.29703470179703</v>
      </c>
    </row>
    <row r="19" spans="1:12" x14ac:dyDescent="0.25">
      <c r="A19" t="s">
        <v>67</v>
      </c>
      <c r="B19" s="101">
        <f>B16-B18</f>
        <v>-117.80000000000001</v>
      </c>
      <c r="C19" s="101">
        <f>C16-C18</f>
        <v>-122.50204480000014</v>
      </c>
      <c r="D19" s="101">
        <f t="shared" ref="D19:L19" si="5">D16-D18</f>
        <v>-58.591621800960695</v>
      </c>
      <c r="E19" s="101">
        <f t="shared" si="5"/>
        <v>0.87563092258324104</v>
      </c>
      <c r="F19" s="101">
        <f t="shared" si="5"/>
        <v>71.362051685996221</v>
      </c>
      <c r="G19" s="101">
        <f t="shared" si="5"/>
        <v>57.392781471490665</v>
      </c>
      <c r="H19" s="101">
        <f t="shared" si="5"/>
        <v>134.10135406120844</v>
      </c>
      <c r="I19" s="101">
        <f t="shared" si="5"/>
        <v>224.41608041861505</v>
      </c>
      <c r="J19" s="101">
        <f t="shared" si="5"/>
        <v>320.87575759440318</v>
      </c>
      <c r="K19" s="101">
        <f t="shared" si="5"/>
        <v>444.7579001836736</v>
      </c>
      <c r="L19" s="101">
        <f t="shared" si="5"/>
        <v>589.19345579309652</v>
      </c>
    </row>
    <row r="21" spans="1:12" x14ac:dyDescent="0.25">
      <c r="A21" t="s">
        <v>75</v>
      </c>
    </row>
    <row r="22" spans="1:12" x14ac:dyDescent="0.25">
      <c r="A22" t="s">
        <v>76</v>
      </c>
      <c r="B22" s="101">
        <f>B19</f>
        <v>-117.80000000000001</v>
      </c>
      <c r="C22" s="101">
        <f t="shared" ref="C22:L22" si="6">C19</f>
        <v>-122.50204480000014</v>
      </c>
      <c r="D22" s="101">
        <f t="shared" si="6"/>
        <v>-58.591621800960695</v>
      </c>
      <c r="E22" s="101">
        <f t="shared" si="6"/>
        <v>0.87563092258324104</v>
      </c>
      <c r="F22" s="101">
        <f t="shared" si="6"/>
        <v>71.362051685996221</v>
      </c>
      <c r="G22" s="101">
        <f t="shared" si="6"/>
        <v>57.392781471490665</v>
      </c>
      <c r="H22" s="101">
        <f t="shared" si="6"/>
        <v>134.10135406120844</v>
      </c>
      <c r="I22" s="101">
        <f t="shared" si="6"/>
        <v>224.41608041861505</v>
      </c>
      <c r="J22" s="101">
        <f t="shared" si="6"/>
        <v>320.87575759440318</v>
      </c>
      <c r="K22" s="101">
        <f t="shared" si="6"/>
        <v>444.7579001836736</v>
      </c>
      <c r="L22" s="101">
        <f t="shared" si="6"/>
        <v>589.19345579309652</v>
      </c>
    </row>
    <row r="23" spans="1:12" x14ac:dyDescent="0.25">
      <c r="A23" t="s">
        <v>77</v>
      </c>
      <c r="B23" s="101">
        <f>B10</f>
        <v>174.8</v>
      </c>
      <c r="C23" s="101">
        <f t="shared" ref="C23:L23" si="7">C10</f>
        <v>174.8</v>
      </c>
      <c r="D23" s="101">
        <f t="shared" si="7"/>
        <v>174.8</v>
      </c>
      <c r="E23" s="101">
        <f t="shared" si="7"/>
        <v>174.8</v>
      </c>
      <c r="F23" s="101">
        <f t="shared" si="7"/>
        <v>174.8</v>
      </c>
      <c r="G23" s="101">
        <f t="shared" si="7"/>
        <v>174.8</v>
      </c>
      <c r="H23" s="101">
        <f t="shared" si="7"/>
        <v>174.8</v>
      </c>
      <c r="I23" s="101">
        <f t="shared" si="7"/>
        <v>174.8</v>
      </c>
      <c r="J23" s="101">
        <f t="shared" si="7"/>
        <v>184.28694399464803</v>
      </c>
      <c r="K23" s="101">
        <f t="shared" si="7"/>
        <v>184.28694399464803</v>
      </c>
      <c r="L23" s="101">
        <f t="shared" si="7"/>
        <v>184.28694399464803</v>
      </c>
    </row>
    <row r="24" spans="1:12" x14ac:dyDescent="0.25">
      <c r="A24" s="112" t="s">
        <v>78</v>
      </c>
      <c r="B24" s="113">
        <f>B22+B23</f>
        <v>57</v>
      </c>
      <c r="C24" s="113">
        <f t="shared" ref="C24:L24" si="8">C22+C23</f>
        <v>52.297955199999876</v>
      </c>
      <c r="D24" s="113">
        <f t="shared" si="8"/>
        <v>116.20837819903932</v>
      </c>
      <c r="E24" s="113">
        <f t="shared" si="8"/>
        <v>175.67563092258325</v>
      </c>
      <c r="F24" s="113">
        <f t="shared" si="8"/>
        <v>246.16205168599623</v>
      </c>
      <c r="G24" s="113">
        <f t="shared" si="8"/>
        <v>232.19278147149066</v>
      </c>
      <c r="H24" s="113">
        <f t="shared" si="8"/>
        <v>308.90135406120845</v>
      </c>
      <c r="I24" s="113">
        <f t="shared" si="8"/>
        <v>399.21608041861509</v>
      </c>
      <c r="J24" s="113">
        <f t="shared" si="8"/>
        <v>505.16270158905121</v>
      </c>
      <c r="K24" s="113">
        <f t="shared" si="8"/>
        <v>629.04484417832168</v>
      </c>
      <c r="L24" s="113">
        <f t="shared" si="8"/>
        <v>773.48039978774455</v>
      </c>
    </row>
    <row r="26" spans="1:12" x14ac:dyDescent="0.25">
      <c r="A26" t="s">
        <v>2</v>
      </c>
    </row>
    <row r="27" spans="1:12" x14ac:dyDescent="0.25">
      <c r="A27" t="s">
        <v>96</v>
      </c>
      <c r="B27" s="101">
        <f>0.05*B5</f>
        <v>14</v>
      </c>
      <c r="C27" s="101">
        <f t="shared" ref="C27:K27" si="9">0.05*C5</f>
        <v>18.986687999999997</v>
      </c>
      <c r="D27" s="101">
        <f t="shared" si="9"/>
        <v>24.732475857599962</v>
      </c>
      <c r="E27" s="101">
        <f t="shared" si="9"/>
        <v>31.494151578639151</v>
      </c>
      <c r="F27" s="101">
        <f t="shared" si="9"/>
        <v>39.425929513785093</v>
      </c>
      <c r="G27" s="101">
        <f t="shared" si="9"/>
        <v>48.70121761744084</v>
      </c>
      <c r="H27" s="101">
        <f t="shared" si="9"/>
        <v>59.517168774793731</v>
      </c>
      <c r="I27" s="101">
        <f t="shared" si="9"/>
        <v>72.097821113692632</v>
      </c>
      <c r="J27" s="101">
        <f t="shared" si="9"/>
        <v>86.697607691962418</v>
      </c>
      <c r="K27" s="101">
        <f t="shared" si="9"/>
        <v>103.60531090493603</v>
      </c>
      <c r="L27" s="101">
        <f>0.05*L5</f>
        <v>123.14851735089852</v>
      </c>
    </row>
    <row r="28" spans="1:12" x14ac:dyDescent="0.25">
      <c r="A28" t="s">
        <v>3</v>
      </c>
      <c r="B28" s="101">
        <f>0.1*B5</f>
        <v>28</v>
      </c>
      <c r="C28" s="101">
        <f t="shared" ref="C28:L28" si="10">0.1*C5</f>
        <v>37.973375999999995</v>
      </c>
      <c r="D28" s="101">
        <f t="shared" si="10"/>
        <v>49.464951715199923</v>
      </c>
      <c r="E28" s="101">
        <f t="shared" si="10"/>
        <v>62.988303157278303</v>
      </c>
      <c r="F28" s="101">
        <f t="shared" si="10"/>
        <v>78.851859027570185</v>
      </c>
      <c r="G28" s="101">
        <f t="shared" si="10"/>
        <v>97.402435234881679</v>
      </c>
      <c r="H28" s="101">
        <f t="shared" si="10"/>
        <v>119.03433754958746</v>
      </c>
      <c r="I28" s="101">
        <f t="shared" si="10"/>
        <v>144.19564222738526</v>
      </c>
      <c r="J28" s="101">
        <f t="shared" si="10"/>
        <v>173.39521538392484</v>
      </c>
      <c r="K28" s="101">
        <f t="shared" si="10"/>
        <v>207.21062180987207</v>
      </c>
      <c r="L28" s="101">
        <f t="shared" si="10"/>
        <v>246.29703470179703</v>
      </c>
    </row>
    <row r="29" spans="1:12" x14ac:dyDescent="0.25">
      <c r="A29" t="s">
        <v>98</v>
      </c>
      <c r="B29" s="101">
        <f>B27+B28</f>
        <v>42</v>
      </c>
      <c r="C29" s="101">
        <f t="shared" ref="C29:L29" si="11">C27+C28</f>
        <v>56.960063999999988</v>
      </c>
      <c r="D29" s="101">
        <f t="shared" si="11"/>
        <v>74.197427572799882</v>
      </c>
      <c r="E29" s="101">
        <f t="shared" si="11"/>
        <v>94.482454735917457</v>
      </c>
      <c r="F29" s="101">
        <f t="shared" si="11"/>
        <v>118.27778854135528</v>
      </c>
      <c r="G29" s="101">
        <f t="shared" si="11"/>
        <v>146.10365285232251</v>
      </c>
      <c r="H29" s="101">
        <f t="shared" si="11"/>
        <v>178.55150632438119</v>
      </c>
      <c r="I29" s="101">
        <f t="shared" si="11"/>
        <v>216.29346334107788</v>
      </c>
      <c r="J29" s="101">
        <f t="shared" si="11"/>
        <v>260.09282307588728</v>
      </c>
      <c r="K29" s="101">
        <f t="shared" si="11"/>
        <v>310.81593271480813</v>
      </c>
      <c r="L29" s="101">
        <f t="shared" si="11"/>
        <v>369.44555205269558</v>
      </c>
    </row>
    <row r="31" spans="1:12" x14ac:dyDescent="0.25">
      <c r="A31" t="s">
        <v>97</v>
      </c>
      <c r="B31" s="101">
        <f>0.06*B5</f>
        <v>16.8</v>
      </c>
      <c r="C31" s="101">
        <f t="shared" ref="C31:L31" si="12">0.06*C5</f>
        <v>22.784025599999996</v>
      </c>
      <c r="D31" s="101">
        <f t="shared" si="12"/>
        <v>29.67897102911995</v>
      </c>
      <c r="E31" s="101">
        <f t="shared" si="12"/>
        <v>37.792981894366982</v>
      </c>
      <c r="F31" s="101">
        <f t="shared" si="12"/>
        <v>47.311115416542108</v>
      </c>
      <c r="G31" s="101">
        <f t="shared" si="12"/>
        <v>58.441461140929</v>
      </c>
      <c r="H31" s="101">
        <f t="shared" si="12"/>
        <v>71.420602529752472</v>
      </c>
      <c r="I31" s="101">
        <f t="shared" si="12"/>
        <v>86.517385336431147</v>
      </c>
      <c r="J31" s="101">
        <f t="shared" si="12"/>
        <v>104.03712923035489</v>
      </c>
      <c r="K31" s="101">
        <f t="shared" si="12"/>
        <v>124.32637308592322</v>
      </c>
      <c r="L31" s="101">
        <f t="shared" si="12"/>
        <v>147.77822082107821</v>
      </c>
    </row>
    <row r="32" spans="1:12" x14ac:dyDescent="0.25">
      <c r="A32" t="s">
        <v>99</v>
      </c>
      <c r="B32" s="101">
        <f>B29-B31</f>
        <v>25.2</v>
      </c>
      <c r="C32" s="101">
        <f t="shared" ref="C32:L32" si="13">C29-C31</f>
        <v>34.176038399999996</v>
      </c>
      <c r="D32" s="101">
        <f t="shared" si="13"/>
        <v>44.518456543679932</v>
      </c>
      <c r="E32" s="101">
        <f t="shared" si="13"/>
        <v>56.689472841550476</v>
      </c>
      <c r="F32" s="101">
        <f t="shared" si="13"/>
        <v>70.96667312481317</v>
      </c>
      <c r="G32" s="101">
        <f t="shared" si="13"/>
        <v>87.662191711393518</v>
      </c>
      <c r="H32" s="101">
        <f t="shared" si="13"/>
        <v>107.13090379462872</v>
      </c>
      <c r="I32" s="101">
        <f t="shared" si="13"/>
        <v>129.77607800464673</v>
      </c>
      <c r="J32" s="101">
        <f t="shared" si="13"/>
        <v>156.0556938455324</v>
      </c>
      <c r="K32" s="101">
        <f t="shared" si="13"/>
        <v>186.4895596288849</v>
      </c>
      <c r="L32" s="101">
        <f t="shared" si="13"/>
        <v>221.66733123161737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6751D-41A9-43C1-A614-2B336EA70EFB}">
  <dimension ref="A2:BG98"/>
  <sheetViews>
    <sheetView topLeftCell="A2" zoomScale="93" zoomScaleNormal="93" workbookViewId="0">
      <selection activeCell="A13" sqref="A13"/>
    </sheetView>
  </sheetViews>
  <sheetFormatPr defaultRowHeight="15" x14ac:dyDescent="0.25"/>
  <cols>
    <col min="1" max="1" width="26.85546875" customWidth="1"/>
    <col min="2" max="2" width="15.7109375" customWidth="1"/>
    <col min="3" max="3" width="12.7109375" customWidth="1"/>
    <col min="4" max="4" width="9.5703125" bestFit="1" customWidth="1"/>
    <col min="6" max="6" width="11.140625" customWidth="1"/>
    <col min="7" max="7" width="14.140625" customWidth="1"/>
    <col min="8" max="8" width="11.42578125" customWidth="1"/>
    <col min="9" max="9" width="11.5703125" customWidth="1"/>
    <col min="10" max="10" width="11.140625" customWidth="1"/>
    <col min="11" max="11" width="11" customWidth="1"/>
    <col min="13" max="14" width="15.85546875" customWidth="1"/>
    <col min="16" max="16" width="16.42578125" customWidth="1"/>
  </cols>
  <sheetData>
    <row r="2" spans="1:16" x14ac:dyDescent="0.25">
      <c r="A2" s="188" t="s">
        <v>82</v>
      </c>
      <c r="B2" s="188"/>
      <c r="C2" s="188"/>
      <c r="D2" s="188"/>
      <c r="E2" s="188"/>
      <c r="G2" s="142" t="s">
        <v>100</v>
      </c>
      <c r="H2" s="157">
        <f>'Negative Cashflows'!I27</f>
        <v>423.53916801605612</v>
      </c>
    </row>
    <row r="3" spans="1:16" x14ac:dyDescent="0.25">
      <c r="N3" s="83"/>
      <c r="O3" s="83"/>
      <c r="P3" s="83"/>
    </row>
    <row r="4" spans="1:16" x14ac:dyDescent="0.25">
      <c r="A4" s="110" t="s">
        <v>64</v>
      </c>
      <c r="B4" s="110" t="s">
        <v>9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6" x14ac:dyDescent="0.25">
      <c r="A5" s="110"/>
      <c r="B5" s="96">
        <v>2022</v>
      </c>
      <c r="C5" s="96">
        <v>2023</v>
      </c>
      <c r="D5" s="96">
        <v>2024</v>
      </c>
      <c r="E5" s="96">
        <v>2025</v>
      </c>
      <c r="F5" s="96">
        <v>2026</v>
      </c>
      <c r="G5" s="96">
        <v>2027</v>
      </c>
      <c r="H5" s="96">
        <v>2028</v>
      </c>
      <c r="I5" s="96">
        <v>2029</v>
      </c>
      <c r="J5" s="96">
        <v>2030</v>
      </c>
      <c r="K5" s="96">
        <v>2031</v>
      </c>
      <c r="L5" s="96">
        <v>2032</v>
      </c>
    </row>
    <row r="6" spans="1:16" x14ac:dyDescent="0.25">
      <c r="A6" s="117" t="s">
        <v>105</v>
      </c>
      <c r="B6" s="118">
        <v>57</v>
      </c>
      <c r="C6" s="118">
        <v>52.297955199999876</v>
      </c>
      <c r="D6" s="118">
        <v>116.20837819903932</v>
      </c>
      <c r="E6" s="118">
        <v>175.67563092258325</v>
      </c>
      <c r="F6" s="118">
        <v>246.16205168599623</v>
      </c>
      <c r="G6" s="118">
        <v>232.19278147149066</v>
      </c>
      <c r="H6" s="118">
        <v>308.90135406120845</v>
      </c>
      <c r="I6" s="118">
        <v>399.21608041861509</v>
      </c>
      <c r="J6" s="118">
        <v>505.16270158905121</v>
      </c>
      <c r="K6" s="118">
        <v>629.04484417832168</v>
      </c>
      <c r="L6" s="118">
        <v>773.48039978774455</v>
      </c>
    </row>
    <row r="8" spans="1:16" x14ac:dyDescent="0.25">
      <c r="A8" s="110" t="s">
        <v>64</v>
      </c>
      <c r="B8" s="110" t="s">
        <v>9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6" x14ac:dyDescent="0.25">
      <c r="A9" s="110"/>
      <c r="B9" s="96">
        <v>2022</v>
      </c>
      <c r="C9" s="96">
        <v>2023</v>
      </c>
      <c r="D9" s="96">
        <v>2024</v>
      </c>
      <c r="E9" s="96">
        <v>2025</v>
      </c>
      <c r="F9" s="96">
        <v>2026</v>
      </c>
      <c r="G9" s="96">
        <v>2027</v>
      </c>
      <c r="H9" s="96">
        <v>2028</v>
      </c>
      <c r="I9" s="96">
        <v>2029</v>
      </c>
      <c r="J9" s="96">
        <v>2030</v>
      </c>
      <c r="K9" s="96">
        <v>2031</v>
      </c>
      <c r="L9" s="96">
        <v>2032</v>
      </c>
    </row>
    <row r="10" spans="1:16" x14ac:dyDescent="0.25">
      <c r="A10" s="117" t="s">
        <v>76</v>
      </c>
      <c r="B10" s="101">
        <v>-117.80000000000001</v>
      </c>
      <c r="C10" s="101">
        <v>-122.50204480000014</v>
      </c>
      <c r="D10" s="101">
        <v>-58.591621800960695</v>
      </c>
      <c r="E10" s="101">
        <v>0.87563092258324104</v>
      </c>
      <c r="F10" s="101">
        <v>71.362051685996221</v>
      </c>
      <c r="G10" s="101">
        <v>57.392781471490665</v>
      </c>
      <c r="H10" s="101">
        <v>134.10135406120844</v>
      </c>
      <c r="I10" s="101">
        <v>224.41608041861505</v>
      </c>
      <c r="J10" s="101">
        <v>320.87575759440318</v>
      </c>
      <c r="K10" s="101">
        <v>444.7579001836736</v>
      </c>
      <c r="L10" s="101">
        <f>589.193455793097+H2</f>
        <v>1012.7326238091531</v>
      </c>
    </row>
    <row r="12" spans="1:16" x14ac:dyDescent="0.25">
      <c r="J12" s="187" t="s">
        <v>80</v>
      </c>
      <c r="K12" s="187"/>
      <c r="L12" s="187"/>
    </row>
    <row r="18" spans="1:14" x14ac:dyDescent="0.25">
      <c r="B18" s="4"/>
    </row>
    <row r="21" spans="1:14" x14ac:dyDescent="0.25">
      <c r="A21" s="181" t="s">
        <v>83</v>
      </c>
      <c r="B21" s="181"/>
      <c r="G21" s="183"/>
      <c r="H21" s="183"/>
      <c r="I21" s="1"/>
      <c r="J21" s="1"/>
      <c r="K21" s="1"/>
    </row>
    <row r="22" spans="1:14" x14ac:dyDescent="0.25">
      <c r="A22" s="119"/>
      <c r="B22" s="119"/>
      <c r="G22" s="2"/>
      <c r="H22" s="2"/>
      <c r="I22" s="1"/>
      <c r="J22" s="1"/>
      <c r="K22" s="1"/>
    </row>
    <row r="23" spans="1:14" x14ac:dyDescent="0.25">
      <c r="A23" s="120" t="s">
        <v>5</v>
      </c>
      <c r="B23" s="121">
        <v>0.11</v>
      </c>
      <c r="D23" s="3" t="s">
        <v>85</v>
      </c>
      <c r="E23" s="3">
        <f>1/(1+0.11)</f>
        <v>0.9009009009009008</v>
      </c>
      <c r="G23" s="2"/>
      <c r="H23" s="130"/>
      <c r="I23" s="1"/>
      <c r="J23" s="1"/>
      <c r="K23" s="1"/>
    </row>
    <row r="24" spans="1:14" x14ac:dyDescent="0.25">
      <c r="G24" s="1"/>
      <c r="H24" s="1"/>
      <c r="I24" s="1"/>
      <c r="J24" s="1"/>
      <c r="K24" s="1"/>
    </row>
    <row r="25" spans="1:14" x14ac:dyDescent="0.25">
      <c r="A25" s="3" t="s">
        <v>9</v>
      </c>
      <c r="B25" s="3" t="s">
        <v>86</v>
      </c>
      <c r="C25" s="3" t="s">
        <v>10</v>
      </c>
      <c r="D25" s="3" t="s">
        <v>87</v>
      </c>
      <c r="E25" s="3" t="s">
        <v>88</v>
      </c>
      <c r="G25" s="1"/>
      <c r="H25" s="1"/>
      <c r="I25" s="1"/>
      <c r="J25" s="1"/>
      <c r="K25" s="1"/>
    </row>
    <row r="26" spans="1:14" x14ac:dyDescent="0.25">
      <c r="A26" s="3">
        <v>2021</v>
      </c>
      <c r="B26" s="3">
        <v>0</v>
      </c>
      <c r="C26" s="3">
        <v>-150</v>
      </c>
      <c r="D26" s="9">
        <f>$E$23^B26</f>
        <v>1</v>
      </c>
      <c r="E26" s="122">
        <f t="shared" ref="E26:E37" si="0">C26*D26</f>
        <v>-150</v>
      </c>
      <c r="G26" s="1"/>
      <c r="H26" s="1"/>
      <c r="I26" s="1"/>
      <c r="J26" s="91"/>
      <c r="K26" s="91"/>
    </row>
    <row r="27" spans="1:14" x14ac:dyDescent="0.25">
      <c r="A27" s="3">
        <v>2022</v>
      </c>
      <c r="B27" s="3">
        <v>1</v>
      </c>
      <c r="C27" s="101">
        <v>-117.80000000000001</v>
      </c>
      <c r="D27" s="9">
        <f>$E$23^B27</f>
        <v>0.9009009009009008</v>
      </c>
      <c r="E27" s="122">
        <f t="shared" si="0"/>
        <v>-106.12612612612612</v>
      </c>
      <c r="G27" s="1"/>
      <c r="H27" s="1"/>
      <c r="I27" s="91"/>
      <c r="J27" s="91"/>
      <c r="K27" s="91"/>
    </row>
    <row r="28" spans="1:14" x14ac:dyDescent="0.25">
      <c r="A28" s="3">
        <v>2023</v>
      </c>
      <c r="B28" s="3">
        <v>2</v>
      </c>
      <c r="C28" s="101">
        <v>-122.50204480000014</v>
      </c>
      <c r="D28" s="9">
        <f t="shared" ref="D28:D37" si="1">$E$23^B28</f>
        <v>0.8116224332440547</v>
      </c>
      <c r="E28" s="122">
        <f t="shared" si="0"/>
        <v>-99.425407677948314</v>
      </c>
      <c r="G28" s="1"/>
      <c r="H28" s="1"/>
      <c r="I28" s="91"/>
      <c r="J28" s="91"/>
      <c r="K28" s="91"/>
      <c r="N28" s="127"/>
    </row>
    <row r="29" spans="1:14" x14ac:dyDescent="0.25">
      <c r="A29" s="3">
        <v>2024</v>
      </c>
      <c r="B29" s="3">
        <v>3</v>
      </c>
      <c r="C29" s="101">
        <v>-58.591621800960695</v>
      </c>
      <c r="D29" s="9">
        <f t="shared" si="1"/>
        <v>0.73119138130095007</v>
      </c>
      <c r="E29" s="122">
        <f t="shared" si="0"/>
        <v>-42.841688877307313</v>
      </c>
      <c r="G29" s="1"/>
      <c r="H29" s="1"/>
      <c r="I29" s="91"/>
      <c r="J29" s="91"/>
      <c r="K29" s="91"/>
      <c r="N29" s="101"/>
    </row>
    <row r="30" spans="1:14" x14ac:dyDescent="0.25">
      <c r="A30" s="3">
        <v>2025</v>
      </c>
      <c r="B30" s="3">
        <v>4</v>
      </c>
      <c r="C30" s="101">
        <v>0.87563092258324104</v>
      </c>
      <c r="D30" s="9">
        <f t="shared" si="1"/>
        <v>0.65873097414500004</v>
      </c>
      <c r="E30" s="122">
        <f t="shared" si="0"/>
        <v>0.57680521062474344</v>
      </c>
      <c r="G30" s="1"/>
      <c r="H30" s="1"/>
      <c r="I30" s="91"/>
      <c r="J30" s="91"/>
      <c r="K30" s="91"/>
    </row>
    <row r="31" spans="1:14" x14ac:dyDescent="0.25">
      <c r="A31" s="3">
        <v>2026</v>
      </c>
      <c r="B31" s="3">
        <v>5</v>
      </c>
      <c r="C31" s="101">
        <v>71.362051685996221</v>
      </c>
      <c r="D31" s="9">
        <f t="shared" si="1"/>
        <v>0.59345132805855849</v>
      </c>
      <c r="E31" s="122">
        <f t="shared" si="0"/>
        <v>42.349904346037953</v>
      </c>
      <c r="G31" s="1"/>
      <c r="H31" s="1"/>
      <c r="I31" s="91"/>
      <c r="J31" s="91"/>
      <c r="K31" s="91"/>
    </row>
    <row r="32" spans="1:14" x14ac:dyDescent="0.25">
      <c r="A32" s="3">
        <v>2027</v>
      </c>
      <c r="B32" s="3">
        <v>6</v>
      </c>
      <c r="C32" s="101">
        <v>57.392781471490665</v>
      </c>
      <c r="D32" s="9">
        <f t="shared" si="1"/>
        <v>0.53464083608879143</v>
      </c>
      <c r="E32" s="122">
        <f t="shared" si="0"/>
        <v>30.684524671379066</v>
      </c>
      <c r="G32" s="1"/>
      <c r="H32" s="1"/>
      <c r="I32" s="91"/>
      <c r="J32" s="91"/>
      <c r="K32" s="91"/>
    </row>
    <row r="33" spans="1:59" x14ac:dyDescent="0.25">
      <c r="A33" s="3">
        <v>2028</v>
      </c>
      <c r="B33" s="3">
        <v>7</v>
      </c>
      <c r="C33" s="101">
        <v>134.10135406120844</v>
      </c>
      <c r="D33" s="9">
        <f t="shared" si="1"/>
        <v>0.48165841089080302</v>
      </c>
      <c r="E33" s="122">
        <f t="shared" si="0"/>
        <v>64.591045095426594</v>
      </c>
      <c r="G33" s="1"/>
      <c r="H33" s="1"/>
      <c r="I33" s="91"/>
      <c r="J33" s="91"/>
      <c r="K33" s="91"/>
    </row>
    <row r="34" spans="1:59" x14ac:dyDescent="0.25">
      <c r="A34" s="3">
        <v>2029</v>
      </c>
      <c r="B34" s="3">
        <v>8</v>
      </c>
      <c r="C34" s="101">
        <v>224.41608041861505</v>
      </c>
      <c r="D34" s="9">
        <f t="shared" si="1"/>
        <v>0.43392649629802071</v>
      </c>
      <c r="E34" s="122">
        <f t="shared" si="0"/>
        <v>97.380083488984482</v>
      </c>
      <c r="G34" s="1"/>
      <c r="H34" s="1"/>
      <c r="I34" s="91"/>
      <c r="J34" s="91"/>
      <c r="K34" s="91"/>
    </row>
    <row r="35" spans="1:59" x14ac:dyDescent="0.25">
      <c r="A35" s="3">
        <v>2030</v>
      </c>
      <c r="B35" s="3">
        <v>9</v>
      </c>
      <c r="C35" s="101">
        <v>320.87575759440318</v>
      </c>
      <c r="D35" s="9">
        <f t="shared" si="1"/>
        <v>0.39092477143965826</v>
      </c>
      <c r="E35" s="122">
        <f t="shared" si="0"/>
        <v>125.43828219811925</v>
      </c>
      <c r="G35" s="1"/>
      <c r="H35" s="1"/>
      <c r="I35" s="91"/>
      <c r="J35" s="91"/>
      <c r="K35" s="91"/>
    </row>
    <row r="36" spans="1:59" x14ac:dyDescent="0.25">
      <c r="A36" s="3">
        <v>2031</v>
      </c>
      <c r="B36" s="3">
        <v>10</v>
      </c>
      <c r="C36" s="101">
        <v>444.7579001836736</v>
      </c>
      <c r="D36" s="9">
        <f t="shared" si="1"/>
        <v>0.35218447877446685</v>
      </c>
      <c r="E36" s="122">
        <f t="shared" si="0"/>
        <v>156.63682925701343</v>
      </c>
      <c r="G36" s="1"/>
      <c r="H36" s="1"/>
      <c r="I36" s="91"/>
      <c r="J36" s="91"/>
      <c r="K36" s="91"/>
    </row>
    <row r="37" spans="1:59" x14ac:dyDescent="0.25">
      <c r="A37" s="3">
        <v>2032</v>
      </c>
      <c r="B37" s="3">
        <v>11</v>
      </c>
      <c r="C37" s="101">
        <f>589.193455793097+$H$2</f>
        <v>1012.7326238091531</v>
      </c>
      <c r="D37" s="9">
        <f t="shared" si="1"/>
        <v>0.31728331421123135</v>
      </c>
      <c r="E37" s="122">
        <f t="shared" si="0"/>
        <v>321.32316329200427</v>
      </c>
      <c r="G37" s="1"/>
      <c r="H37" s="1"/>
      <c r="I37" s="91"/>
      <c r="J37" s="91"/>
      <c r="K37" s="91"/>
    </row>
    <row r="38" spans="1:59" x14ac:dyDescent="0.25">
      <c r="G38" s="1"/>
      <c r="H38" s="1"/>
      <c r="I38" s="1"/>
      <c r="J38" s="1"/>
      <c r="K38" s="1"/>
    </row>
    <row r="39" spans="1:59" x14ac:dyDescent="0.25">
      <c r="D39" s="3" t="s">
        <v>84</v>
      </c>
      <c r="E39" s="123">
        <f>SUM(E26:E37)</f>
        <v>440.58741487820799</v>
      </c>
      <c r="G39" s="1"/>
      <c r="H39" s="1"/>
      <c r="I39" s="1"/>
      <c r="J39" s="1"/>
      <c r="K39" s="91"/>
    </row>
    <row r="40" spans="1:59" x14ac:dyDescent="0.25">
      <c r="D40" s="6"/>
      <c r="E40" s="91"/>
      <c r="G40" s="1"/>
      <c r="H40" s="1"/>
      <c r="I40" s="1"/>
      <c r="J40" s="1"/>
      <c r="K40" s="91"/>
    </row>
    <row r="41" spans="1:59" x14ac:dyDescent="0.25">
      <c r="D41" s="6"/>
      <c r="E41" s="91"/>
      <c r="G41" s="1"/>
      <c r="H41" s="1"/>
      <c r="I41" s="1"/>
      <c r="J41" s="1"/>
      <c r="K41" s="91"/>
    </row>
    <row r="42" spans="1:59" x14ac:dyDescent="0.25">
      <c r="D42" s="6"/>
      <c r="E42" s="91"/>
      <c r="G42" s="1"/>
      <c r="H42" s="1"/>
      <c r="I42" s="1"/>
      <c r="J42" s="1"/>
      <c r="K42" s="91"/>
    </row>
    <row r="43" spans="1:59" x14ac:dyDescent="0.25">
      <c r="D43" s="6"/>
      <c r="E43" s="91"/>
      <c r="G43" s="1"/>
      <c r="H43" s="1"/>
      <c r="I43" s="1"/>
      <c r="J43" s="1"/>
      <c r="K43" s="91"/>
    </row>
    <row r="44" spans="1:59" x14ac:dyDescent="0.25">
      <c r="D44" s="6"/>
      <c r="E44" s="91"/>
      <c r="G44" s="1"/>
      <c r="H44" s="1"/>
      <c r="I44" s="1"/>
      <c r="J44" s="1"/>
      <c r="K44" s="91"/>
    </row>
    <row r="46" spans="1:59" x14ac:dyDescent="0.25">
      <c r="A46" t="s">
        <v>91</v>
      </c>
    </row>
    <row r="47" spans="1:59" x14ac:dyDescent="0.25">
      <c r="A47" s="120" t="s">
        <v>92</v>
      </c>
      <c r="B47" s="125">
        <v>0.01</v>
      </c>
      <c r="D47" s="3"/>
      <c r="E47" s="3"/>
      <c r="G47" s="120" t="s">
        <v>92</v>
      </c>
      <c r="H47" s="125">
        <v>0.05</v>
      </c>
      <c r="J47" s="3"/>
      <c r="K47" s="3"/>
      <c r="M47" s="120" t="s">
        <v>92</v>
      </c>
      <c r="N47" s="129">
        <v>7.4999999999999997E-2</v>
      </c>
      <c r="P47" s="3"/>
      <c r="Q47" s="3"/>
      <c r="S47" s="120" t="s">
        <v>92</v>
      </c>
      <c r="T47" s="125">
        <v>0.1</v>
      </c>
      <c r="V47" s="3"/>
      <c r="W47" s="3"/>
      <c r="Y47" s="120" t="s">
        <v>92</v>
      </c>
      <c r="Z47" s="125">
        <v>0.125</v>
      </c>
      <c r="AB47" s="3"/>
      <c r="AC47" s="3"/>
      <c r="AE47" s="120" t="s">
        <v>92</v>
      </c>
      <c r="AF47" s="125">
        <v>0.15</v>
      </c>
      <c r="AH47" s="3"/>
      <c r="AI47" s="3"/>
      <c r="AK47" s="120" t="s">
        <v>92</v>
      </c>
      <c r="AL47" s="125">
        <v>0.17499999999999999</v>
      </c>
      <c r="AN47" s="3"/>
      <c r="AO47" s="3"/>
      <c r="AQ47" s="120" t="s">
        <v>92</v>
      </c>
      <c r="AR47" s="125">
        <v>0.2</v>
      </c>
      <c r="AT47" s="3"/>
      <c r="AU47" s="3"/>
      <c r="AW47" s="120" t="s">
        <v>92</v>
      </c>
      <c r="AX47" s="125">
        <v>0.22500000000000001</v>
      </c>
      <c r="AZ47" s="3"/>
      <c r="BA47" s="3"/>
      <c r="BC47" s="120" t="s">
        <v>92</v>
      </c>
      <c r="BD47" s="125">
        <v>0.25</v>
      </c>
      <c r="BF47" s="3"/>
      <c r="BG47" s="3"/>
    </row>
    <row r="49" spans="1:59" x14ac:dyDescent="0.25">
      <c r="A49" s="3" t="s">
        <v>9</v>
      </c>
      <c r="B49" s="3" t="s">
        <v>86</v>
      </c>
      <c r="C49" s="3" t="s">
        <v>10</v>
      </c>
      <c r="D49" s="3" t="s">
        <v>87</v>
      </c>
      <c r="E49" s="3" t="s">
        <v>88</v>
      </c>
      <c r="G49" s="3" t="s">
        <v>9</v>
      </c>
      <c r="H49" s="3" t="s">
        <v>86</v>
      </c>
      <c r="I49" s="3" t="s">
        <v>10</v>
      </c>
      <c r="J49" s="3" t="s">
        <v>87</v>
      </c>
      <c r="K49" s="3" t="s">
        <v>88</v>
      </c>
      <c r="M49" s="3" t="s">
        <v>9</v>
      </c>
      <c r="N49" s="3" t="s">
        <v>86</v>
      </c>
      <c r="O49" s="3" t="s">
        <v>10</v>
      </c>
      <c r="P49" s="3" t="s">
        <v>87</v>
      </c>
      <c r="Q49" s="3" t="s">
        <v>88</v>
      </c>
      <c r="S49" s="3" t="s">
        <v>9</v>
      </c>
      <c r="T49" s="3" t="s">
        <v>86</v>
      </c>
      <c r="U49" s="3" t="s">
        <v>10</v>
      </c>
      <c r="V49" s="3" t="s">
        <v>87</v>
      </c>
      <c r="W49" s="3" t="s">
        <v>88</v>
      </c>
      <c r="Y49" s="3" t="s">
        <v>9</v>
      </c>
      <c r="Z49" s="3" t="s">
        <v>86</v>
      </c>
      <c r="AA49" s="3" t="s">
        <v>10</v>
      </c>
      <c r="AB49" s="3" t="s">
        <v>87</v>
      </c>
      <c r="AC49" s="3" t="s">
        <v>88</v>
      </c>
      <c r="AE49" s="3" t="s">
        <v>9</v>
      </c>
      <c r="AF49" s="3" t="s">
        <v>86</v>
      </c>
      <c r="AG49" s="3" t="s">
        <v>10</v>
      </c>
      <c r="AH49" s="3" t="s">
        <v>87</v>
      </c>
      <c r="AI49" s="3" t="s">
        <v>88</v>
      </c>
      <c r="AK49" s="3" t="s">
        <v>9</v>
      </c>
      <c r="AL49" s="3" t="s">
        <v>86</v>
      </c>
      <c r="AM49" s="3" t="s">
        <v>10</v>
      </c>
      <c r="AN49" s="3" t="s">
        <v>87</v>
      </c>
      <c r="AO49" s="3" t="s">
        <v>88</v>
      </c>
      <c r="AQ49" s="3" t="s">
        <v>9</v>
      </c>
      <c r="AR49" s="3" t="s">
        <v>86</v>
      </c>
      <c r="AS49" s="3" t="s">
        <v>10</v>
      </c>
      <c r="AT49" s="3" t="s">
        <v>87</v>
      </c>
      <c r="AU49" s="3" t="s">
        <v>88</v>
      </c>
      <c r="AW49" s="3" t="s">
        <v>9</v>
      </c>
      <c r="AX49" s="3" t="s">
        <v>86</v>
      </c>
      <c r="AY49" s="3" t="s">
        <v>10</v>
      </c>
      <c r="AZ49" s="3" t="s">
        <v>87</v>
      </c>
      <c r="BA49" s="3" t="s">
        <v>88</v>
      </c>
      <c r="BC49" s="3" t="s">
        <v>9</v>
      </c>
      <c r="BD49" s="3" t="s">
        <v>86</v>
      </c>
      <c r="BE49" s="3" t="s">
        <v>10</v>
      </c>
      <c r="BF49" s="3" t="s">
        <v>87</v>
      </c>
      <c r="BG49" s="3" t="s">
        <v>88</v>
      </c>
    </row>
    <row r="50" spans="1:59" x14ac:dyDescent="0.25">
      <c r="A50" s="3">
        <v>2021</v>
      </c>
      <c r="B50" s="3">
        <v>0</v>
      </c>
      <c r="C50" s="3">
        <v>-150</v>
      </c>
      <c r="D50" s="9">
        <f t="shared" ref="D50:D61" si="2">(1/(1+$B$47))^B50</f>
        <v>1</v>
      </c>
      <c r="E50" s="122">
        <f t="shared" ref="E50:E61" si="3">C50*D50</f>
        <v>-150</v>
      </c>
      <c r="G50" s="3">
        <v>2021</v>
      </c>
      <c r="H50" s="3">
        <v>0</v>
      </c>
      <c r="I50" s="3">
        <v>-150</v>
      </c>
      <c r="J50" s="124">
        <f t="shared" ref="J50:J61" si="4">(1/(1+$H$47))^H50</f>
        <v>1</v>
      </c>
      <c r="K50" s="122">
        <f t="shared" ref="K50:K61" si="5">I50*J50</f>
        <v>-150</v>
      </c>
      <c r="M50" s="3">
        <v>2021</v>
      </c>
      <c r="N50" s="3">
        <v>0</v>
      </c>
      <c r="O50" s="3">
        <v>-150</v>
      </c>
      <c r="P50" s="124">
        <f t="shared" ref="P50:P61" si="6">(1/(1+$N$47))^N50</f>
        <v>1</v>
      </c>
      <c r="Q50" s="122">
        <f t="shared" ref="Q50:Q61" si="7">O50*P50</f>
        <v>-150</v>
      </c>
      <c r="S50" s="3">
        <v>2021</v>
      </c>
      <c r="T50" s="3">
        <v>0</v>
      </c>
      <c r="U50" s="3">
        <v>-150</v>
      </c>
      <c r="V50" s="124">
        <f t="shared" ref="V50:V61" si="8">(1/(1+$T$47))^T50</f>
        <v>1</v>
      </c>
      <c r="W50" s="122">
        <f t="shared" ref="W50:W61" si="9">U50*V50</f>
        <v>-150</v>
      </c>
      <c r="Y50" s="3">
        <v>2021</v>
      </c>
      <c r="Z50" s="3">
        <v>0</v>
      </c>
      <c r="AA50" s="3">
        <v>-150</v>
      </c>
      <c r="AB50" s="124">
        <f t="shared" ref="AB50:AB61" si="10">(1/(1+$Z$47))^Z50</f>
        <v>1</v>
      </c>
      <c r="AC50" s="122">
        <f t="shared" ref="AC50:AC61" si="11">AA50*AB50</f>
        <v>-150</v>
      </c>
      <c r="AE50" s="3">
        <v>2021</v>
      </c>
      <c r="AF50" s="3">
        <v>0</v>
      </c>
      <c r="AG50" s="3">
        <v>-150</v>
      </c>
      <c r="AH50" s="124">
        <f t="shared" ref="AH50:AH61" si="12">(1/(1+$AF$47))^AF50</f>
        <v>1</v>
      </c>
      <c r="AI50" s="122">
        <f t="shared" ref="AI50:AI61" si="13">AG50*AH50</f>
        <v>-150</v>
      </c>
      <c r="AK50" s="3">
        <v>2021</v>
      </c>
      <c r="AL50" s="3">
        <v>0</v>
      </c>
      <c r="AM50" s="3">
        <v>-150</v>
      </c>
      <c r="AN50" s="124">
        <f t="shared" ref="AN50:AN61" si="14">(1/(1+$AL$47))^AL50</f>
        <v>1</v>
      </c>
      <c r="AO50" s="122">
        <f t="shared" ref="AO50:AO61" si="15">AM50*AN50</f>
        <v>-150</v>
      </c>
      <c r="AQ50" s="3">
        <v>2021</v>
      </c>
      <c r="AR50" s="3">
        <v>0</v>
      </c>
      <c r="AS50" s="3">
        <v>-150</v>
      </c>
      <c r="AT50" s="124">
        <f>(1/(1+$AR$47))^AR50</f>
        <v>1</v>
      </c>
      <c r="AU50" s="122">
        <f t="shared" ref="AU50:AU61" si="16">AS50*AT50</f>
        <v>-150</v>
      </c>
      <c r="AW50" s="3">
        <v>2021</v>
      </c>
      <c r="AX50" s="3">
        <v>0</v>
      </c>
      <c r="AY50" s="3">
        <v>-150</v>
      </c>
      <c r="AZ50" s="124">
        <f t="shared" ref="AZ50:AZ61" si="17">(1/(1+$AX$47))^AX50</f>
        <v>1</v>
      </c>
      <c r="BA50" s="122">
        <f t="shared" ref="BA50:BA61" si="18">AY50*AZ50</f>
        <v>-150</v>
      </c>
      <c r="BC50" s="3">
        <v>2021</v>
      </c>
      <c r="BD50" s="3">
        <v>0</v>
      </c>
      <c r="BE50" s="3">
        <v>-150</v>
      </c>
      <c r="BF50" s="124">
        <f t="shared" ref="BF50:BF61" si="19">(1/(1+$BD$47))^BD50</f>
        <v>1</v>
      </c>
      <c r="BG50" s="122">
        <f t="shared" ref="BG50:BG61" si="20">BE50*BF50</f>
        <v>-150</v>
      </c>
    </row>
    <row r="51" spans="1:59" x14ac:dyDescent="0.25">
      <c r="A51" s="3">
        <v>2022</v>
      </c>
      <c r="B51" s="3">
        <v>1</v>
      </c>
      <c r="C51" s="101">
        <v>-117.80000000000001</v>
      </c>
      <c r="D51" s="9">
        <f t="shared" si="2"/>
        <v>0.99009900990099009</v>
      </c>
      <c r="E51" s="122">
        <f t="shared" si="3"/>
        <v>-116.63366336633665</v>
      </c>
      <c r="G51" s="3">
        <v>2022</v>
      </c>
      <c r="H51" s="3">
        <v>1</v>
      </c>
      <c r="I51" s="101">
        <v>-117.80000000000001</v>
      </c>
      <c r="J51" s="124">
        <f t="shared" si="4"/>
        <v>0.95238095238095233</v>
      </c>
      <c r="K51" s="122">
        <f>I51*J51</f>
        <v>-112.19047619047619</v>
      </c>
      <c r="M51" s="3">
        <v>2022</v>
      </c>
      <c r="N51" s="3">
        <v>1</v>
      </c>
      <c r="O51" s="101">
        <v>-117.80000000000001</v>
      </c>
      <c r="P51" s="124">
        <f t="shared" si="6"/>
        <v>0.93023255813953487</v>
      </c>
      <c r="Q51" s="122">
        <f>O51*P51</f>
        <v>-109.58139534883722</v>
      </c>
      <c r="S51" s="3">
        <v>2022</v>
      </c>
      <c r="T51" s="3">
        <v>1</v>
      </c>
      <c r="U51" s="101">
        <v>-117.80000000000001</v>
      </c>
      <c r="V51" s="124">
        <f>(1/(1+$T$47))^T51</f>
        <v>0.90909090909090906</v>
      </c>
      <c r="W51" s="122">
        <f>U51*V51</f>
        <v>-107.09090909090909</v>
      </c>
      <c r="Y51" s="3">
        <v>2022</v>
      </c>
      <c r="Z51" s="3">
        <v>1</v>
      </c>
      <c r="AA51" s="101">
        <v>-117.80000000000001</v>
      </c>
      <c r="AB51" s="124">
        <f>(1/(1+$Z$47))^Z51</f>
        <v>0.88888888888888884</v>
      </c>
      <c r="AC51" s="122">
        <f>AA51*AB51</f>
        <v>-104.71111111111111</v>
      </c>
      <c r="AE51" s="3">
        <v>2022</v>
      </c>
      <c r="AF51" s="3">
        <v>1</v>
      </c>
      <c r="AG51" s="101">
        <v>-117.80000000000001</v>
      </c>
      <c r="AH51" s="124">
        <f t="shared" si="12"/>
        <v>0.86956521739130443</v>
      </c>
      <c r="AI51" s="122">
        <f>AG51*AH51</f>
        <v>-102.43478260869567</v>
      </c>
      <c r="AK51" s="3">
        <v>2022</v>
      </c>
      <c r="AL51" s="3">
        <v>1</v>
      </c>
      <c r="AM51" s="101">
        <v>-117.80000000000001</v>
      </c>
      <c r="AN51" s="124">
        <f>(1/(1+$AL$47))^AL51</f>
        <v>0.85106382978723405</v>
      </c>
      <c r="AO51" s="122">
        <f>AM51*AN51</f>
        <v>-100.25531914893618</v>
      </c>
      <c r="AQ51" s="3">
        <v>2022</v>
      </c>
      <c r="AR51" s="3">
        <v>1</v>
      </c>
      <c r="AS51" s="101">
        <v>-117.80000000000001</v>
      </c>
      <c r="AT51" s="124">
        <f t="shared" ref="AT51:AT61" si="21">(1/(1+$AR$47))^AR51</f>
        <v>0.83333333333333337</v>
      </c>
      <c r="AU51" s="122">
        <f>AS51*AT51</f>
        <v>-98.166666666666686</v>
      </c>
      <c r="AW51" s="3">
        <v>2022</v>
      </c>
      <c r="AX51" s="3">
        <v>1</v>
      </c>
      <c r="AY51" s="101">
        <v>-117.80000000000001</v>
      </c>
      <c r="AZ51" s="124">
        <f>(1/(1+$AX$47))^AX51</f>
        <v>0.81632653061224481</v>
      </c>
      <c r="BA51" s="122">
        <f>AY51*AZ51</f>
        <v>-96.16326530612244</v>
      </c>
      <c r="BC51" s="3">
        <v>2022</v>
      </c>
      <c r="BD51" s="3">
        <v>1</v>
      </c>
      <c r="BE51" s="101">
        <v>-117.80000000000001</v>
      </c>
      <c r="BF51" s="124">
        <f>(1/(1+$BD$47))^BD51</f>
        <v>0.8</v>
      </c>
      <c r="BG51" s="122">
        <f>BE51*BF51</f>
        <v>-94.240000000000009</v>
      </c>
    </row>
    <row r="52" spans="1:59" x14ac:dyDescent="0.25">
      <c r="A52" s="3">
        <v>2023</v>
      </c>
      <c r="B52" s="3">
        <v>2</v>
      </c>
      <c r="C52" s="101">
        <v>-122.50204480000014</v>
      </c>
      <c r="D52" s="9">
        <f t="shared" si="2"/>
        <v>0.98029604940692083</v>
      </c>
      <c r="E52" s="122">
        <f t="shared" si="3"/>
        <v>-120.08827056170976</v>
      </c>
      <c r="G52" s="3">
        <v>2023</v>
      </c>
      <c r="H52" s="3">
        <v>2</v>
      </c>
      <c r="I52" s="101">
        <v>-122.50204480000014</v>
      </c>
      <c r="J52" s="124">
        <f t="shared" si="4"/>
        <v>0.90702947845804982</v>
      </c>
      <c r="K52" s="122">
        <f t="shared" si="5"/>
        <v>-111.11296580498878</v>
      </c>
      <c r="M52" s="3">
        <v>2023</v>
      </c>
      <c r="N52" s="3">
        <v>2</v>
      </c>
      <c r="O52" s="101">
        <v>-122.50204480000014</v>
      </c>
      <c r="P52" s="124">
        <f t="shared" si="6"/>
        <v>0.86533261222282309</v>
      </c>
      <c r="Q52" s="122">
        <f t="shared" si="7"/>
        <v>-106.00501442942142</v>
      </c>
      <c r="S52" s="3">
        <v>2023</v>
      </c>
      <c r="T52" s="3">
        <v>2</v>
      </c>
      <c r="U52" s="101">
        <v>-122.50204480000014</v>
      </c>
      <c r="V52" s="124">
        <f t="shared" si="8"/>
        <v>0.82644628099173545</v>
      </c>
      <c r="W52" s="122">
        <f t="shared" si="9"/>
        <v>-101.24135933884308</v>
      </c>
      <c r="Y52" s="3">
        <v>2023</v>
      </c>
      <c r="Z52" s="3">
        <v>2</v>
      </c>
      <c r="AA52" s="101">
        <v>-122.50204480000014</v>
      </c>
      <c r="AB52" s="124">
        <f t="shared" si="10"/>
        <v>0.79012345679012341</v>
      </c>
      <c r="AC52" s="122">
        <f t="shared" si="11"/>
        <v>-96.791739101234668</v>
      </c>
      <c r="AE52" s="3">
        <v>2023</v>
      </c>
      <c r="AF52" s="3">
        <v>2</v>
      </c>
      <c r="AG52" s="101">
        <v>-122.50204480000014</v>
      </c>
      <c r="AH52" s="124">
        <f t="shared" si="12"/>
        <v>0.7561436672967865</v>
      </c>
      <c r="AI52" s="122">
        <f t="shared" si="13"/>
        <v>-92.629145406427341</v>
      </c>
      <c r="AK52" s="3">
        <v>2023</v>
      </c>
      <c r="AL52" s="3">
        <v>2</v>
      </c>
      <c r="AM52" s="101">
        <v>-122.50204480000014</v>
      </c>
      <c r="AN52" s="124">
        <f t="shared" si="14"/>
        <v>0.72430964237211404</v>
      </c>
      <c r="AO52" s="122">
        <f t="shared" si="15"/>
        <v>-88.729412258940783</v>
      </c>
      <c r="AQ52" s="3">
        <v>2023</v>
      </c>
      <c r="AR52" s="3">
        <v>2</v>
      </c>
      <c r="AS52" s="101">
        <v>-122.50204480000014</v>
      </c>
      <c r="AT52" s="124">
        <f t="shared" si="21"/>
        <v>0.69444444444444453</v>
      </c>
      <c r="AU52" s="122">
        <f t="shared" si="16"/>
        <v>-85.070864444444553</v>
      </c>
      <c r="AW52" s="3">
        <v>2023</v>
      </c>
      <c r="AX52" s="3">
        <v>2</v>
      </c>
      <c r="AY52" s="101">
        <v>-122.50204480000014</v>
      </c>
      <c r="AZ52" s="124">
        <f t="shared" si="17"/>
        <v>0.66638900458142425</v>
      </c>
      <c r="BA52" s="122">
        <f t="shared" si="18"/>
        <v>-81.634015693461123</v>
      </c>
      <c r="BC52" s="3">
        <v>2023</v>
      </c>
      <c r="BD52" s="3">
        <v>2</v>
      </c>
      <c r="BE52" s="101">
        <v>-122.50204480000014</v>
      </c>
      <c r="BF52" s="124">
        <f t="shared" si="19"/>
        <v>0.64000000000000012</v>
      </c>
      <c r="BG52" s="122">
        <f t="shared" si="20"/>
        <v>-78.401308672000098</v>
      </c>
    </row>
    <row r="53" spans="1:59" x14ac:dyDescent="0.25">
      <c r="A53" s="3">
        <v>2024</v>
      </c>
      <c r="B53" s="3">
        <v>3</v>
      </c>
      <c r="C53" s="101">
        <v>-58.591621800960695</v>
      </c>
      <c r="D53" s="9">
        <f t="shared" si="2"/>
        <v>0.97059014792764442</v>
      </c>
      <c r="E53" s="122">
        <f t="shared" si="3"/>
        <v>-56.868450871115037</v>
      </c>
      <c r="G53" s="3">
        <v>2024</v>
      </c>
      <c r="H53" s="3">
        <v>3</v>
      </c>
      <c r="I53" s="101">
        <v>-58.591621800960695</v>
      </c>
      <c r="J53" s="124">
        <f t="shared" si="4"/>
        <v>0.86383759853147601</v>
      </c>
      <c r="K53" s="122">
        <f t="shared" si="5"/>
        <v>-50.613645870606362</v>
      </c>
      <c r="M53" s="3">
        <v>2024</v>
      </c>
      <c r="N53" s="3">
        <v>3</v>
      </c>
      <c r="O53" s="101">
        <v>-58.591621800960695</v>
      </c>
      <c r="P53" s="124">
        <f t="shared" si="6"/>
        <v>0.80496056950960282</v>
      </c>
      <c r="Q53" s="122">
        <f t="shared" si="7"/>
        <v>-47.163945253392583</v>
      </c>
      <c r="S53" s="3">
        <v>2024</v>
      </c>
      <c r="T53" s="3">
        <v>3</v>
      </c>
      <c r="U53" s="101">
        <v>-58.591621800960695</v>
      </c>
      <c r="V53" s="124">
        <f t="shared" si="8"/>
        <v>0.75131480090157765</v>
      </c>
      <c r="W53" s="122">
        <f t="shared" si="9"/>
        <v>-44.020752667889319</v>
      </c>
      <c r="Y53" s="3">
        <v>2024</v>
      </c>
      <c r="Z53" s="3">
        <v>3</v>
      </c>
      <c r="AA53" s="101">
        <v>-58.591621800960695</v>
      </c>
      <c r="AB53" s="124">
        <f t="shared" si="10"/>
        <v>0.7023319615912208</v>
      </c>
      <c r="AC53" s="122">
        <f t="shared" si="11"/>
        <v>-41.150768672279661</v>
      </c>
      <c r="AE53" s="3">
        <v>2024</v>
      </c>
      <c r="AF53" s="3">
        <v>3</v>
      </c>
      <c r="AG53" s="101">
        <v>-58.591621800960695</v>
      </c>
      <c r="AH53" s="124">
        <f t="shared" si="12"/>
        <v>0.65751623243198831</v>
      </c>
      <c r="AI53" s="122">
        <f t="shared" si="13"/>
        <v>-38.524942418647626</v>
      </c>
      <c r="AK53" s="3">
        <v>2024</v>
      </c>
      <c r="AL53" s="3">
        <v>3</v>
      </c>
      <c r="AM53" s="101">
        <v>-58.591621800960695</v>
      </c>
      <c r="AN53" s="124">
        <f t="shared" si="14"/>
        <v>0.61643373818903324</v>
      </c>
      <c r="AO53" s="122">
        <f t="shared" si="15"/>
        <v>-36.117852453324261</v>
      </c>
      <c r="AQ53" s="3">
        <v>2024</v>
      </c>
      <c r="AR53" s="3">
        <v>3</v>
      </c>
      <c r="AS53" s="101">
        <v>-58.591621800960695</v>
      </c>
      <c r="AT53" s="124">
        <f t="shared" si="21"/>
        <v>0.57870370370370383</v>
      </c>
      <c r="AU53" s="122">
        <f t="shared" si="16"/>
        <v>-33.907188542222634</v>
      </c>
      <c r="AW53" s="3">
        <v>2024</v>
      </c>
      <c r="AX53" s="3">
        <v>3</v>
      </c>
      <c r="AY53" s="101">
        <v>-58.591621800960695</v>
      </c>
      <c r="AZ53" s="124">
        <f t="shared" si="17"/>
        <v>0.54399102414810141</v>
      </c>
      <c r="BA53" s="122">
        <f t="shared" si="18"/>
        <v>-31.873316350002835</v>
      </c>
      <c r="BC53" s="3">
        <v>2024</v>
      </c>
      <c r="BD53" s="3">
        <v>3</v>
      </c>
      <c r="BE53" s="101">
        <v>-58.591621800960695</v>
      </c>
      <c r="BF53" s="124">
        <f t="shared" si="19"/>
        <v>0.51200000000000012</v>
      </c>
      <c r="BG53" s="122">
        <f t="shared" si="20"/>
        <v>-29.998910362091884</v>
      </c>
    </row>
    <row r="54" spans="1:59" x14ac:dyDescent="0.25">
      <c r="A54" s="3">
        <v>2025</v>
      </c>
      <c r="B54" s="3">
        <v>4</v>
      </c>
      <c r="C54" s="101">
        <v>0.87563092258324104</v>
      </c>
      <c r="D54" s="9">
        <f t="shared" si="2"/>
        <v>0.96098034448281622</v>
      </c>
      <c r="E54" s="122">
        <f t="shared" si="3"/>
        <v>0.84146410562384921</v>
      </c>
      <c r="G54" s="3">
        <v>2025</v>
      </c>
      <c r="H54" s="3">
        <v>4</v>
      </c>
      <c r="I54" s="101">
        <v>0.87563092258324104</v>
      </c>
      <c r="J54" s="124">
        <f t="shared" si="4"/>
        <v>0.82270247479188185</v>
      </c>
      <c r="K54" s="122">
        <f t="shared" si="5"/>
        <v>0.72038372701353115</v>
      </c>
      <c r="M54" s="3">
        <v>2025</v>
      </c>
      <c r="N54" s="3">
        <v>4</v>
      </c>
      <c r="O54" s="101">
        <v>0.87563092258324104</v>
      </c>
      <c r="P54" s="124">
        <f t="shared" si="6"/>
        <v>0.74880052977637468</v>
      </c>
      <c r="Q54" s="122">
        <f t="shared" si="7"/>
        <v>0.65567289871890666</v>
      </c>
      <c r="S54" s="3">
        <v>2025</v>
      </c>
      <c r="T54" s="3">
        <v>4</v>
      </c>
      <c r="U54" s="101">
        <v>0.87563092258324104</v>
      </c>
      <c r="V54" s="124">
        <f t="shared" si="8"/>
        <v>0.68301345536507052</v>
      </c>
      <c r="W54" s="122">
        <f t="shared" si="9"/>
        <v>0.59806770205808402</v>
      </c>
      <c r="Y54" s="3">
        <v>2025</v>
      </c>
      <c r="Z54" s="3">
        <v>4</v>
      </c>
      <c r="AA54" s="101">
        <v>0.87563092258324104</v>
      </c>
      <c r="AB54" s="124">
        <f t="shared" si="10"/>
        <v>0.62429507696997399</v>
      </c>
      <c r="AC54" s="122">
        <f t="shared" si="11"/>
        <v>0.54665207421139383</v>
      </c>
      <c r="AE54" s="3">
        <v>2025</v>
      </c>
      <c r="AF54" s="3">
        <v>4</v>
      </c>
      <c r="AG54" s="101">
        <v>0.87563092258324104</v>
      </c>
      <c r="AH54" s="124">
        <f t="shared" si="12"/>
        <v>0.57175324559303331</v>
      </c>
      <c r="AI54" s="122">
        <f t="shared" si="13"/>
        <v>0.50064482192859017</v>
      </c>
      <c r="AK54" s="3">
        <v>2025</v>
      </c>
      <c r="AL54" s="3">
        <v>4</v>
      </c>
      <c r="AM54" s="101">
        <v>0.87563092258324104</v>
      </c>
      <c r="AN54" s="124">
        <f t="shared" si="14"/>
        <v>0.52462445803321978</v>
      </c>
      <c r="AO54" s="122">
        <f t="shared" si="15"/>
        <v>0.45937739819736106</v>
      </c>
      <c r="AQ54" s="3">
        <v>2025</v>
      </c>
      <c r="AR54" s="3">
        <v>4</v>
      </c>
      <c r="AS54" s="101">
        <v>0.87563092258324104</v>
      </c>
      <c r="AT54" s="124">
        <f t="shared" si="21"/>
        <v>0.48225308641975323</v>
      </c>
      <c r="AU54" s="122">
        <f t="shared" si="16"/>
        <v>0.422275714980344</v>
      </c>
      <c r="AW54" s="3">
        <v>2025</v>
      </c>
      <c r="AX54" s="3">
        <v>4</v>
      </c>
      <c r="AY54" s="101">
        <v>0.87563092258324104</v>
      </c>
      <c r="AZ54" s="124">
        <f t="shared" si="17"/>
        <v>0.44407430542702148</v>
      </c>
      <c r="BA54" s="122">
        <f t="shared" si="18"/>
        <v>0.38884519375657478</v>
      </c>
      <c r="BC54" s="3">
        <v>2025</v>
      </c>
      <c r="BD54" s="3">
        <v>4</v>
      </c>
      <c r="BE54" s="101">
        <v>0.87563092258324104</v>
      </c>
      <c r="BF54" s="124">
        <f t="shared" si="19"/>
        <v>0.40960000000000019</v>
      </c>
      <c r="BG54" s="122">
        <f t="shared" si="20"/>
        <v>0.35865842589009572</v>
      </c>
    </row>
    <row r="55" spans="1:59" x14ac:dyDescent="0.25">
      <c r="A55" s="3">
        <v>2026</v>
      </c>
      <c r="B55" s="3">
        <v>5</v>
      </c>
      <c r="C55" s="101">
        <v>71.362051685996221</v>
      </c>
      <c r="D55" s="9">
        <f t="shared" si="2"/>
        <v>0.95146568760674877</v>
      </c>
      <c r="E55" s="122">
        <f t="shared" si="3"/>
        <v>67.898543576444737</v>
      </c>
      <c r="G55" s="3">
        <v>2026</v>
      </c>
      <c r="H55" s="3">
        <v>5</v>
      </c>
      <c r="I55" s="101">
        <v>71.362051685996221</v>
      </c>
      <c r="J55" s="124">
        <f t="shared" si="4"/>
        <v>0.78352616646845885</v>
      </c>
      <c r="K55" s="122">
        <f t="shared" si="5"/>
        <v>55.914034788852639</v>
      </c>
      <c r="M55" s="3">
        <v>2026</v>
      </c>
      <c r="N55" s="3">
        <v>5</v>
      </c>
      <c r="O55" s="101">
        <v>71.362051685996221</v>
      </c>
      <c r="P55" s="124">
        <f t="shared" si="6"/>
        <v>0.69655863235011595</v>
      </c>
      <c r="Q55" s="122">
        <f t="shared" si="7"/>
        <v>49.707853124095813</v>
      </c>
      <c r="S55" s="3">
        <v>2026</v>
      </c>
      <c r="T55" s="3">
        <v>5</v>
      </c>
      <c r="U55" s="101">
        <v>71.362051685996221</v>
      </c>
      <c r="V55" s="124">
        <f t="shared" si="8"/>
        <v>0.62092132305915504</v>
      </c>
      <c r="W55" s="122">
        <f t="shared" si="9"/>
        <v>44.310219549084579</v>
      </c>
      <c r="Y55" s="3">
        <v>2026</v>
      </c>
      <c r="Z55" s="3">
        <v>5</v>
      </c>
      <c r="AA55" s="101">
        <v>71.362051685996221</v>
      </c>
      <c r="AB55" s="124">
        <f t="shared" si="10"/>
        <v>0.55492895730664349</v>
      </c>
      <c r="AC55" s="122">
        <f t="shared" si="11"/>
        <v>39.600868933372681</v>
      </c>
      <c r="AE55" s="3">
        <v>2026</v>
      </c>
      <c r="AF55" s="3">
        <v>5</v>
      </c>
      <c r="AG55" s="101">
        <v>71.362051685996221</v>
      </c>
      <c r="AH55" s="124">
        <f t="shared" si="12"/>
        <v>0.49717673529828987</v>
      </c>
      <c r="AI55" s="122">
        <f t="shared" si="13"/>
        <v>35.479551881431426</v>
      </c>
      <c r="AK55" s="3">
        <v>2026</v>
      </c>
      <c r="AL55" s="3">
        <v>5</v>
      </c>
      <c r="AM55" s="101">
        <v>71.362051685996221</v>
      </c>
      <c r="AN55" s="124">
        <f t="shared" si="14"/>
        <v>0.44648890045380407</v>
      </c>
      <c r="AO55" s="122">
        <f t="shared" si="15"/>
        <v>31.862363991407989</v>
      </c>
      <c r="AQ55" s="3">
        <v>2026</v>
      </c>
      <c r="AR55" s="3">
        <v>5</v>
      </c>
      <c r="AS55" s="101">
        <v>71.362051685996221</v>
      </c>
      <c r="AT55" s="124">
        <f t="shared" si="21"/>
        <v>0.40187757201646102</v>
      </c>
      <c r="AU55" s="122">
        <f t="shared" si="16"/>
        <v>28.678808065681359</v>
      </c>
      <c r="AW55" s="3">
        <v>2026</v>
      </c>
      <c r="AX55" s="3">
        <v>5</v>
      </c>
      <c r="AY55" s="101">
        <v>71.362051685996221</v>
      </c>
      <c r="AZ55" s="124">
        <f t="shared" si="17"/>
        <v>0.36250963708328282</v>
      </c>
      <c r="BA55" s="122">
        <f t="shared" si="18"/>
        <v>25.869431458208961</v>
      </c>
      <c r="BC55" s="3">
        <v>2026</v>
      </c>
      <c r="BD55" s="3">
        <v>5</v>
      </c>
      <c r="BE55" s="101">
        <v>71.362051685996221</v>
      </c>
      <c r="BF55" s="124">
        <f t="shared" si="19"/>
        <v>0.32768000000000019</v>
      </c>
      <c r="BG55" s="122">
        <f t="shared" si="20"/>
        <v>23.383917096467254</v>
      </c>
    </row>
    <row r="56" spans="1:59" x14ac:dyDescent="0.25">
      <c r="A56" s="3">
        <v>2027</v>
      </c>
      <c r="B56" s="3">
        <v>6</v>
      </c>
      <c r="C56" s="101">
        <v>57.392781471490665</v>
      </c>
      <c r="D56" s="9">
        <f t="shared" si="2"/>
        <v>0.94204523525420658</v>
      </c>
      <c r="E56" s="122">
        <f t="shared" si="3"/>
        <v>54.06659632320369</v>
      </c>
      <c r="G56" s="3">
        <v>2027</v>
      </c>
      <c r="H56" s="3">
        <v>6</v>
      </c>
      <c r="I56" s="101">
        <v>57.392781471490665</v>
      </c>
      <c r="J56" s="124">
        <f t="shared" si="4"/>
        <v>0.7462153966366275</v>
      </c>
      <c r="K56" s="122">
        <f t="shared" si="5"/>
        <v>42.827377189827693</v>
      </c>
      <c r="M56" s="3">
        <v>2027</v>
      </c>
      <c r="N56" s="3">
        <v>6</v>
      </c>
      <c r="O56" s="101">
        <v>57.392781471490665</v>
      </c>
      <c r="P56" s="124">
        <f t="shared" si="6"/>
        <v>0.6479615184652241</v>
      </c>
      <c r="Q56" s="122">
        <f t="shared" si="7"/>
        <v>37.188313831209868</v>
      </c>
      <c r="S56" s="3">
        <v>2027</v>
      </c>
      <c r="T56" s="3">
        <v>6</v>
      </c>
      <c r="U56" s="101">
        <v>57.392781471490665</v>
      </c>
      <c r="V56" s="124">
        <f t="shared" si="8"/>
        <v>0.56447393005377722</v>
      </c>
      <c r="W56" s="122">
        <f t="shared" si="9"/>
        <v>32.396728913929941</v>
      </c>
      <c r="Y56" s="3">
        <v>2027</v>
      </c>
      <c r="Z56" s="3">
        <v>6</v>
      </c>
      <c r="AA56" s="101">
        <v>57.392781471490665</v>
      </c>
      <c r="AB56" s="124">
        <f t="shared" si="10"/>
        <v>0.49327018427257202</v>
      </c>
      <c r="AC56" s="122">
        <f t="shared" si="11"/>
        <v>28.310147892357659</v>
      </c>
      <c r="AE56" s="3">
        <v>2027</v>
      </c>
      <c r="AF56" s="3">
        <v>6</v>
      </c>
      <c r="AG56" s="101">
        <v>57.392781471490665</v>
      </c>
      <c r="AH56" s="124">
        <f t="shared" si="12"/>
        <v>0.43232759591155645</v>
      </c>
      <c r="AI56" s="122">
        <f t="shared" si="13"/>
        <v>24.81248323624688</v>
      </c>
      <c r="AK56" s="3">
        <v>2027</v>
      </c>
      <c r="AL56" s="3">
        <v>6</v>
      </c>
      <c r="AM56" s="101">
        <v>57.392781471490665</v>
      </c>
      <c r="AN56" s="124">
        <f t="shared" si="14"/>
        <v>0.37999055357770556</v>
      </c>
      <c r="AO56" s="122">
        <f t="shared" si="15"/>
        <v>21.808714802716022</v>
      </c>
      <c r="AQ56" s="3">
        <v>2027</v>
      </c>
      <c r="AR56" s="3">
        <v>6</v>
      </c>
      <c r="AS56" s="101">
        <v>57.392781471490665</v>
      </c>
      <c r="AT56" s="124">
        <f t="shared" si="21"/>
        <v>0.33489797668038424</v>
      </c>
      <c r="AU56" s="122">
        <f t="shared" si="16"/>
        <v>19.220726390861667</v>
      </c>
      <c r="AW56" s="3">
        <v>2027</v>
      </c>
      <c r="AX56" s="3">
        <v>6</v>
      </c>
      <c r="AY56" s="101">
        <v>57.392781471490665</v>
      </c>
      <c r="AZ56" s="124">
        <f t="shared" si="17"/>
        <v>0.29592623435370019</v>
      </c>
      <c r="BA56" s="122">
        <f t="shared" si="18"/>
        <v>16.984029699943047</v>
      </c>
      <c r="BC56" s="3">
        <v>2027</v>
      </c>
      <c r="BD56" s="3">
        <v>6</v>
      </c>
      <c r="BE56" s="101">
        <v>57.392781471490665</v>
      </c>
      <c r="BF56" s="124">
        <f t="shared" si="19"/>
        <v>0.26214400000000015</v>
      </c>
      <c r="BG56" s="122">
        <f t="shared" si="20"/>
        <v>15.045173306062457</v>
      </c>
    </row>
    <row r="57" spans="1:59" x14ac:dyDescent="0.25">
      <c r="A57" s="3">
        <v>2028</v>
      </c>
      <c r="B57" s="3">
        <v>7</v>
      </c>
      <c r="C57" s="101">
        <v>134.10135406120844</v>
      </c>
      <c r="D57" s="9">
        <f t="shared" si="2"/>
        <v>0.93271805470713531</v>
      </c>
      <c r="E57" s="122">
        <f t="shared" si="3"/>
        <v>125.07875409356313</v>
      </c>
      <c r="G57" s="3">
        <v>2028</v>
      </c>
      <c r="H57" s="3">
        <v>7</v>
      </c>
      <c r="I57" s="101">
        <v>134.10135406120844</v>
      </c>
      <c r="J57" s="124">
        <f t="shared" si="4"/>
        <v>0.71068133013012136</v>
      </c>
      <c r="K57" s="122">
        <f t="shared" si="5"/>
        <v>95.30332867646996</v>
      </c>
      <c r="M57" s="3">
        <v>2028</v>
      </c>
      <c r="N57" s="3">
        <v>7</v>
      </c>
      <c r="O57" s="101">
        <v>134.10135406120844</v>
      </c>
      <c r="P57" s="124">
        <f t="shared" si="6"/>
        <v>0.60275490089788286</v>
      </c>
      <c r="Q57" s="122">
        <f t="shared" si="7"/>
        <v>80.830248377435595</v>
      </c>
      <c r="S57" s="3">
        <v>2028</v>
      </c>
      <c r="T57" s="3">
        <v>7</v>
      </c>
      <c r="U57" s="101">
        <v>134.10135406120844</v>
      </c>
      <c r="V57" s="124">
        <f t="shared" si="8"/>
        <v>0.51315811823070656</v>
      </c>
      <c r="W57" s="122">
        <f t="shared" si="9"/>
        <v>68.81519850223944</v>
      </c>
      <c r="Y57" s="3">
        <v>2028</v>
      </c>
      <c r="Z57" s="3">
        <v>7</v>
      </c>
      <c r="AA57" s="101">
        <v>134.10135406120844</v>
      </c>
      <c r="AB57" s="124">
        <f t="shared" si="10"/>
        <v>0.43846238602006399</v>
      </c>
      <c r="AC57" s="122">
        <f t="shared" si="11"/>
        <v>58.798399670198847</v>
      </c>
      <c r="AE57" s="3">
        <v>2028</v>
      </c>
      <c r="AF57" s="3">
        <v>7</v>
      </c>
      <c r="AG57" s="101">
        <v>134.10135406120844</v>
      </c>
      <c r="AH57" s="124">
        <f t="shared" si="12"/>
        <v>0.37593703992309258</v>
      </c>
      <c r="AI57" s="122">
        <f t="shared" si="13"/>
        <v>50.413666095449287</v>
      </c>
      <c r="AK57" s="3">
        <v>2028</v>
      </c>
      <c r="AL57" s="3">
        <v>7</v>
      </c>
      <c r="AM57" s="101">
        <v>134.10135406120844</v>
      </c>
      <c r="AN57" s="124">
        <f t="shared" si="14"/>
        <v>0.32339621581081324</v>
      </c>
      <c r="AO57" s="122">
        <f t="shared" si="15"/>
        <v>43.367870438500837</v>
      </c>
      <c r="AQ57" s="3">
        <v>2028</v>
      </c>
      <c r="AR57" s="3">
        <v>7</v>
      </c>
      <c r="AS57" s="101">
        <v>134.10135406120844</v>
      </c>
      <c r="AT57" s="124">
        <f t="shared" si="21"/>
        <v>0.27908164723365353</v>
      </c>
      <c r="AU57" s="122">
        <f t="shared" si="16"/>
        <v>37.425226787665444</v>
      </c>
      <c r="AW57" s="3">
        <v>2028</v>
      </c>
      <c r="AX57" s="3">
        <v>7</v>
      </c>
      <c r="AY57" s="101">
        <v>134.10135406120844</v>
      </c>
      <c r="AZ57" s="124">
        <f t="shared" si="17"/>
        <v>0.2415724362071022</v>
      </c>
      <c r="BA57" s="122">
        <f t="shared" si="18"/>
        <v>32.395190799237298</v>
      </c>
      <c r="BC57" s="3">
        <v>2028</v>
      </c>
      <c r="BD57" s="3">
        <v>7</v>
      </c>
      <c r="BE57" s="101">
        <v>134.10135406120844</v>
      </c>
      <c r="BF57" s="124">
        <f t="shared" si="19"/>
        <v>0.20971520000000016</v>
      </c>
      <c r="BG57" s="122">
        <f t="shared" si="20"/>
        <v>28.123092287217162</v>
      </c>
    </row>
    <row r="58" spans="1:59" x14ac:dyDescent="0.25">
      <c r="A58" s="3">
        <v>2029</v>
      </c>
      <c r="B58" s="3">
        <v>8</v>
      </c>
      <c r="C58" s="101">
        <v>224.41608041861505</v>
      </c>
      <c r="D58" s="9">
        <f t="shared" si="2"/>
        <v>0.92348322248231207</v>
      </c>
      <c r="E58" s="122">
        <f t="shared" si="3"/>
        <v>207.24448512183233</v>
      </c>
      <c r="G58" s="3">
        <v>2029</v>
      </c>
      <c r="H58" s="3">
        <v>8</v>
      </c>
      <c r="I58" s="101">
        <v>224.41608041861505</v>
      </c>
      <c r="J58" s="124">
        <f t="shared" si="4"/>
        <v>0.676839362028687</v>
      </c>
      <c r="K58" s="122">
        <f t="shared" si="5"/>
        <v>151.89363669951393</v>
      </c>
      <c r="M58" s="3">
        <v>2029</v>
      </c>
      <c r="N58" s="3">
        <v>8</v>
      </c>
      <c r="O58" s="101">
        <v>224.41608041861505</v>
      </c>
      <c r="P58" s="124">
        <f t="shared" si="6"/>
        <v>0.56070223339337943</v>
      </c>
      <c r="Q58" s="122">
        <f t="shared" si="7"/>
        <v>125.83059750010571</v>
      </c>
      <c r="S58" s="3">
        <v>2029</v>
      </c>
      <c r="T58" s="3">
        <v>8</v>
      </c>
      <c r="U58" s="101">
        <v>224.41608041861505</v>
      </c>
      <c r="V58" s="124">
        <f t="shared" si="8"/>
        <v>0.4665073802097332</v>
      </c>
      <c r="W58" s="122">
        <f t="shared" si="9"/>
        <v>104.69175775302492</v>
      </c>
      <c r="Y58" s="3">
        <v>2029</v>
      </c>
      <c r="Z58" s="3">
        <v>8</v>
      </c>
      <c r="AA58" s="101">
        <v>224.41608041861505</v>
      </c>
      <c r="AB58" s="124">
        <f t="shared" si="10"/>
        <v>0.38974434312894574</v>
      </c>
      <c r="AC58" s="122">
        <f t="shared" si="11"/>
        <v>87.464897850325784</v>
      </c>
      <c r="AE58" s="3">
        <v>2029</v>
      </c>
      <c r="AF58" s="3">
        <v>8</v>
      </c>
      <c r="AG58" s="101">
        <v>224.41608041861505</v>
      </c>
      <c r="AH58" s="124">
        <f t="shared" si="12"/>
        <v>0.32690177384616748</v>
      </c>
      <c r="AI58" s="122">
        <f t="shared" si="13"/>
        <v>73.362014768449427</v>
      </c>
      <c r="AK58" s="3">
        <v>2029</v>
      </c>
      <c r="AL58" s="3">
        <v>8</v>
      </c>
      <c r="AM58" s="101">
        <v>224.41608041861505</v>
      </c>
      <c r="AN58" s="124">
        <f t="shared" si="14"/>
        <v>0.27523082196664955</v>
      </c>
      <c r="AO58" s="122">
        <f t="shared" si="15"/>
        <v>61.766222276149151</v>
      </c>
      <c r="AQ58" s="3">
        <v>2029</v>
      </c>
      <c r="AR58" s="3">
        <v>8</v>
      </c>
      <c r="AS58" s="101">
        <v>224.41608041861505</v>
      </c>
      <c r="AT58" s="124">
        <f t="shared" si="21"/>
        <v>0.23256803936137799</v>
      </c>
      <c r="AU58" s="122">
        <f t="shared" si="16"/>
        <v>52.192007824122634</v>
      </c>
      <c r="AW58" s="3">
        <v>2029</v>
      </c>
      <c r="AX58" s="3">
        <v>8</v>
      </c>
      <c r="AY58" s="101">
        <v>224.41608041861505</v>
      </c>
      <c r="AZ58" s="124">
        <f t="shared" si="17"/>
        <v>0.19720198874049155</v>
      </c>
      <c r="BA58" s="122">
        <f t="shared" si="18"/>
        <v>44.255297363896972</v>
      </c>
      <c r="BC58" s="3">
        <v>2029</v>
      </c>
      <c r="BD58" s="3">
        <v>8</v>
      </c>
      <c r="BE58" s="101">
        <v>224.41608041861505</v>
      </c>
      <c r="BF58" s="124">
        <f t="shared" si="19"/>
        <v>0.16777216000000014</v>
      </c>
      <c r="BG58" s="122">
        <f t="shared" si="20"/>
        <v>37.650770550564786</v>
      </c>
    </row>
    <row r="59" spans="1:59" x14ac:dyDescent="0.25">
      <c r="A59" s="3">
        <v>2030</v>
      </c>
      <c r="B59" s="3">
        <v>9</v>
      </c>
      <c r="C59" s="101">
        <v>320.87575759440318</v>
      </c>
      <c r="D59" s="9">
        <f t="shared" si="2"/>
        <v>0.91433982423991289</v>
      </c>
      <c r="E59" s="122">
        <f t="shared" si="3"/>
        <v>293.38948380171553</v>
      </c>
      <c r="G59" s="3">
        <v>2030</v>
      </c>
      <c r="H59" s="3">
        <v>9</v>
      </c>
      <c r="I59" s="101">
        <v>320.87575759440318</v>
      </c>
      <c r="J59" s="124">
        <f t="shared" si="4"/>
        <v>0.64460891621779715</v>
      </c>
      <c r="K59" s="122">
        <f t="shared" si="5"/>
        <v>206.83937434349284</v>
      </c>
      <c r="M59" s="3">
        <v>2030</v>
      </c>
      <c r="N59" s="3">
        <v>9</v>
      </c>
      <c r="O59" s="101">
        <v>320.87575759440318</v>
      </c>
      <c r="P59" s="124">
        <f t="shared" si="6"/>
        <v>0.52158347292407392</v>
      </c>
      <c r="Q59" s="122">
        <f t="shared" si="7"/>
        <v>167.36349202323211</v>
      </c>
      <c r="S59" s="3">
        <v>2030</v>
      </c>
      <c r="T59" s="3">
        <v>9</v>
      </c>
      <c r="U59" s="101">
        <v>320.87575759440318</v>
      </c>
      <c r="V59" s="124">
        <f t="shared" si="8"/>
        <v>0.42409761837248472</v>
      </c>
      <c r="W59" s="122">
        <f t="shared" si="9"/>
        <v>136.08264458925311</v>
      </c>
      <c r="Y59" s="3">
        <v>2030</v>
      </c>
      <c r="Z59" s="3">
        <v>9</v>
      </c>
      <c r="AA59" s="101">
        <v>320.87575759440318</v>
      </c>
      <c r="AB59" s="124">
        <f t="shared" si="10"/>
        <v>0.34643941611461843</v>
      </c>
      <c r="AC59" s="122">
        <f t="shared" si="11"/>
        <v>111.16401010634088</v>
      </c>
      <c r="AE59" s="3">
        <v>2030</v>
      </c>
      <c r="AF59" s="3">
        <v>9</v>
      </c>
      <c r="AG59" s="101">
        <v>320.87575759440318</v>
      </c>
      <c r="AH59" s="124">
        <f t="shared" si="12"/>
        <v>0.28426241204014568</v>
      </c>
      <c r="AI59" s="122">
        <f t="shared" si="13"/>
        <v>91.212916818994145</v>
      </c>
      <c r="AK59" s="3">
        <v>2030</v>
      </c>
      <c r="AL59" s="3">
        <v>9</v>
      </c>
      <c r="AM59" s="101">
        <v>320.87575759440318</v>
      </c>
      <c r="AN59" s="124">
        <f t="shared" si="14"/>
        <v>0.23423899741842516</v>
      </c>
      <c r="AO59" s="122">
        <f t="shared" si="15"/>
        <v>75.161615754790631</v>
      </c>
      <c r="AQ59" s="3">
        <v>2030</v>
      </c>
      <c r="AR59" s="3">
        <v>9</v>
      </c>
      <c r="AS59" s="101">
        <v>320.87575759440318</v>
      </c>
      <c r="AT59" s="124">
        <f t="shared" si="21"/>
        <v>0.19380669946781501</v>
      </c>
      <c r="AU59" s="122">
        <f t="shared" si="16"/>
        <v>62.187871518605959</v>
      </c>
      <c r="AW59" s="3">
        <v>2030</v>
      </c>
      <c r="AX59" s="3">
        <v>9</v>
      </c>
      <c r="AY59" s="101">
        <v>320.87575759440318</v>
      </c>
      <c r="AZ59" s="124">
        <f t="shared" si="17"/>
        <v>0.16098121529836043</v>
      </c>
      <c r="BA59" s="122">
        <f t="shared" si="18"/>
        <v>51.654969417329134</v>
      </c>
      <c r="BC59" s="3">
        <v>2030</v>
      </c>
      <c r="BD59" s="3">
        <v>9</v>
      </c>
      <c r="BE59" s="101">
        <v>320.87575759440318</v>
      </c>
      <c r="BF59" s="124">
        <f t="shared" si="19"/>
        <v>0.13421772800000012</v>
      </c>
      <c r="BG59" s="122">
        <f t="shared" si="20"/>
        <v>43.06721515459958</v>
      </c>
    </row>
    <row r="60" spans="1:59" x14ac:dyDescent="0.25">
      <c r="A60" s="3">
        <v>2031</v>
      </c>
      <c r="B60" s="3">
        <v>10</v>
      </c>
      <c r="C60" s="101">
        <v>444.7579001836736</v>
      </c>
      <c r="D60" s="9">
        <f t="shared" si="2"/>
        <v>0.90528695469298304</v>
      </c>
      <c r="E60" s="122">
        <f t="shared" si="3"/>
        <v>402.63352503292361</v>
      </c>
      <c r="G60" s="3">
        <v>2031</v>
      </c>
      <c r="H60" s="3">
        <v>10</v>
      </c>
      <c r="I60" s="101">
        <v>444.7579001836736</v>
      </c>
      <c r="J60" s="124">
        <f t="shared" si="4"/>
        <v>0.6139132535407591</v>
      </c>
      <c r="K60" s="122">
        <f t="shared" si="5"/>
        <v>273.04276953971521</v>
      </c>
      <c r="M60" s="3">
        <v>2031</v>
      </c>
      <c r="N60" s="3">
        <v>10</v>
      </c>
      <c r="O60" s="101">
        <v>444.7579001836736</v>
      </c>
      <c r="P60" s="124">
        <f t="shared" si="6"/>
        <v>0.48519392830146407</v>
      </c>
      <c r="Q60" s="122">
        <f t="shared" si="7"/>
        <v>215.79383273322705</v>
      </c>
      <c r="S60" s="3">
        <v>2031</v>
      </c>
      <c r="T60" s="3">
        <v>10</v>
      </c>
      <c r="U60" s="101">
        <v>444.7579001836736</v>
      </c>
      <c r="V60" s="124">
        <f t="shared" si="8"/>
        <v>0.38554328942953153</v>
      </c>
      <c r="W60" s="122">
        <f t="shared" si="9"/>
        <v>171.47342383658477</v>
      </c>
      <c r="Y60" s="3">
        <v>2031</v>
      </c>
      <c r="Z60" s="3">
        <v>10</v>
      </c>
      <c r="AA60" s="101">
        <v>444.7579001836736</v>
      </c>
      <c r="AB60" s="124">
        <f t="shared" si="10"/>
        <v>0.30794614765743861</v>
      </c>
      <c r="AC60" s="122">
        <f t="shared" si="11"/>
        <v>136.9614820017739</v>
      </c>
      <c r="AE60" s="3">
        <v>2031</v>
      </c>
      <c r="AF60" s="3">
        <v>10</v>
      </c>
      <c r="AG60" s="101">
        <v>444.7579001836736</v>
      </c>
      <c r="AH60" s="124">
        <f t="shared" si="12"/>
        <v>0.2471847061218658</v>
      </c>
      <c r="AI60" s="122">
        <f t="shared" si="13"/>
        <v>109.93735085227948</v>
      </c>
      <c r="AK60" s="3">
        <v>2031</v>
      </c>
      <c r="AL60" s="3">
        <v>10</v>
      </c>
      <c r="AM60" s="101">
        <v>444.7579001836736</v>
      </c>
      <c r="AN60" s="124">
        <f t="shared" si="14"/>
        <v>0.19935233822844692</v>
      </c>
      <c r="AO60" s="122">
        <f t="shared" si="15"/>
        <v>88.663527347189529</v>
      </c>
      <c r="AQ60" s="3">
        <v>2031</v>
      </c>
      <c r="AR60" s="3">
        <v>10</v>
      </c>
      <c r="AS60" s="101">
        <v>444.7579001836736</v>
      </c>
      <c r="AT60" s="124">
        <f t="shared" si="21"/>
        <v>0.16150558288984584</v>
      </c>
      <c r="AU60" s="122">
        <f t="shared" si="16"/>
        <v>71.830883914028078</v>
      </c>
      <c r="AW60" s="3">
        <v>2031</v>
      </c>
      <c r="AX60" s="3">
        <v>10</v>
      </c>
      <c r="AY60" s="101">
        <v>444.7579001836736</v>
      </c>
      <c r="AZ60" s="124">
        <f t="shared" si="17"/>
        <v>0.13141323697825341</v>
      </c>
      <c r="BA60" s="122">
        <f t="shared" si="18"/>
        <v>58.447075334787478</v>
      </c>
      <c r="BC60" s="3">
        <v>2031</v>
      </c>
      <c r="BD60" s="3">
        <v>10</v>
      </c>
      <c r="BE60" s="101">
        <v>444.7579001836736</v>
      </c>
      <c r="BF60" s="124">
        <f t="shared" si="19"/>
        <v>0.10737418240000011</v>
      </c>
      <c r="BG60" s="122">
        <f t="shared" si="20"/>
        <v>47.755515898162813</v>
      </c>
    </row>
    <row r="61" spans="1:59" x14ac:dyDescent="0.25">
      <c r="A61" s="3">
        <v>2032</v>
      </c>
      <c r="B61" s="3">
        <v>11</v>
      </c>
      <c r="C61" s="101">
        <f>589.193455793097+$H$2</f>
        <v>1012.7326238091531</v>
      </c>
      <c r="D61" s="9">
        <f t="shared" si="2"/>
        <v>0.89632371751780504</v>
      </c>
      <c r="E61" s="122">
        <f t="shared" si="3"/>
        <v>907.73627022418088</v>
      </c>
      <c r="G61" s="3">
        <v>2032</v>
      </c>
      <c r="H61" s="3">
        <v>11</v>
      </c>
      <c r="I61" s="101">
        <f>589.193455793097+$H$2</f>
        <v>1012.7326238091531</v>
      </c>
      <c r="J61" s="124">
        <f t="shared" si="4"/>
        <v>0.58467928908643729</v>
      </c>
      <c r="K61" s="122">
        <f t="shared" si="5"/>
        <v>592.12379052337792</v>
      </c>
      <c r="M61" s="3">
        <v>2032</v>
      </c>
      <c r="N61" s="3">
        <v>11</v>
      </c>
      <c r="O61" s="101">
        <f>589.193455793097+$H$2</f>
        <v>1012.7326238091531</v>
      </c>
      <c r="P61" s="124">
        <f t="shared" si="6"/>
        <v>0.45134318911764093</v>
      </c>
      <c r="Q61" s="122">
        <f t="shared" si="7"/>
        <v>457.08997215349928</v>
      </c>
      <c r="S61" s="3">
        <v>2032</v>
      </c>
      <c r="T61" s="3">
        <v>11</v>
      </c>
      <c r="U61" s="101">
        <f>589.193455793097+$H$2</f>
        <v>1012.7326238091531</v>
      </c>
      <c r="V61" s="124">
        <f t="shared" si="8"/>
        <v>0.35049389948139231</v>
      </c>
      <c r="W61" s="122">
        <f t="shared" si="9"/>
        <v>354.95660645089202</v>
      </c>
      <c r="Y61" s="3">
        <v>2032</v>
      </c>
      <c r="Z61" s="3">
        <v>11</v>
      </c>
      <c r="AA61" s="101">
        <f>589.193455793097+$H$2</f>
        <v>1012.7326238091531</v>
      </c>
      <c r="AB61" s="124">
        <f t="shared" si="10"/>
        <v>0.27372990902883432</v>
      </c>
      <c r="AC61" s="122">
        <f t="shared" si="11"/>
        <v>277.21520898581218</v>
      </c>
      <c r="AE61" s="3">
        <v>2032</v>
      </c>
      <c r="AF61" s="3">
        <v>11</v>
      </c>
      <c r="AG61" s="101">
        <f>589.193455793097+$H$2</f>
        <v>1012.7326238091531</v>
      </c>
      <c r="AH61" s="124">
        <f t="shared" si="12"/>
        <v>0.21494322271466593</v>
      </c>
      <c r="AI61" s="122">
        <f t="shared" si="13"/>
        <v>217.68001390981877</v>
      </c>
      <c r="AK61" s="3">
        <v>2032</v>
      </c>
      <c r="AL61" s="3">
        <v>11</v>
      </c>
      <c r="AM61" s="101">
        <f>589.193455793097+$H$2</f>
        <v>1012.7326238091531</v>
      </c>
      <c r="AN61" s="124">
        <f t="shared" si="14"/>
        <v>0.16966156444974206</v>
      </c>
      <c r="AO61" s="122">
        <f t="shared" si="15"/>
        <v>171.82180132475301</v>
      </c>
      <c r="AQ61" s="3">
        <v>2032</v>
      </c>
      <c r="AR61" s="3">
        <v>11</v>
      </c>
      <c r="AS61" s="101">
        <f>589.193455793097+$H$2</f>
        <v>1012.7326238091531</v>
      </c>
      <c r="AT61" s="124">
        <f t="shared" si="21"/>
        <v>0.13458798574153821</v>
      </c>
      <c r="AU61" s="122">
        <f t="shared" si="16"/>
        <v>136.30164393321687</v>
      </c>
      <c r="AW61" s="3">
        <v>2032</v>
      </c>
      <c r="AX61" s="3">
        <v>11</v>
      </c>
      <c r="AY61" s="101">
        <f>589.193455793097+$H$2</f>
        <v>1012.7326238091531</v>
      </c>
      <c r="AZ61" s="124">
        <f t="shared" si="17"/>
        <v>0.10727611181898236</v>
      </c>
      <c r="BA61" s="122">
        <f t="shared" si="18"/>
        <v>108.64201819448211</v>
      </c>
      <c r="BC61" s="3">
        <v>2032</v>
      </c>
      <c r="BD61" s="3">
        <v>11</v>
      </c>
      <c r="BE61" s="101">
        <f>589.193455793097+$H$2</f>
        <v>1012.7326238091531</v>
      </c>
      <c r="BF61" s="124">
        <f t="shared" si="19"/>
        <v>8.5899345920000092E-2</v>
      </c>
      <c r="BG61" s="122">
        <f t="shared" si="20"/>
        <v>86.993069977051761</v>
      </c>
    </row>
    <row r="62" spans="1:59" x14ac:dyDescent="0.25">
      <c r="L62" s="1"/>
    </row>
    <row r="63" spans="1:59" x14ac:dyDescent="0.25">
      <c r="D63" s="3" t="s">
        <v>84</v>
      </c>
      <c r="E63" s="123">
        <f>SUM(E50:E61)</f>
        <v>1615.2987374803265</v>
      </c>
      <c r="J63" s="3" t="s">
        <v>84</v>
      </c>
      <c r="K63" s="123">
        <f>SUM(K50:K61)</f>
        <v>994.74760762219239</v>
      </c>
      <c r="L63" s="1"/>
      <c r="P63" s="3" t="s">
        <v>84</v>
      </c>
      <c r="Q63" s="123">
        <f>SUM(Q50:Q61)</f>
        <v>721.70962760987322</v>
      </c>
      <c r="V63" s="3" t="s">
        <v>84</v>
      </c>
      <c r="W63" s="123">
        <f>SUM(W50:W61)</f>
        <v>510.97162619942537</v>
      </c>
      <c r="AB63" s="3" t="s">
        <v>84</v>
      </c>
      <c r="AC63" s="123">
        <f>SUM(AC50:AC61)</f>
        <v>347.40804862976785</v>
      </c>
      <c r="AH63" s="3" t="s">
        <v>84</v>
      </c>
      <c r="AI63" s="123">
        <f>SUM(AI50:AI61)</f>
        <v>219.80977195082733</v>
      </c>
      <c r="AN63" s="3" t="s">
        <v>84</v>
      </c>
      <c r="AO63" s="123">
        <f>SUM(AO50:AO61)</f>
        <v>119.80890947250333</v>
      </c>
      <c r="AT63" s="3" t="s">
        <v>84</v>
      </c>
      <c r="AU63" s="123">
        <f>SUM(AU50:AU61)</f>
        <v>41.114724495828511</v>
      </c>
      <c r="AZ63" s="3" t="s">
        <v>84</v>
      </c>
      <c r="BA63" s="123">
        <f>SUM(BA50:BA61)</f>
        <v>-21.033739887944776</v>
      </c>
      <c r="BF63" s="3" t="s">
        <v>84</v>
      </c>
      <c r="BG63" s="123">
        <f>SUM(BG50:BG61)</f>
        <v>-70.262806338076047</v>
      </c>
    </row>
    <row r="64" spans="1:59" x14ac:dyDescent="0.25">
      <c r="L64" s="91"/>
    </row>
    <row r="66" spans="1:17" x14ac:dyDescent="0.25">
      <c r="B66" s="143" t="s">
        <v>92</v>
      </c>
      <c r="C66" s="143" t="s">
        <v>84</v>
      </c>
    </row>
    <row r="67" spans="1:17" x14ac:dyDescent="0.25">
      <c r="B67" s="153">
        <v>0.01</v>
      </c>
      <c r="C67" s="154">
        <f>E63</f>
        <v>1615.2987374803265</v>
      </c>
      <c r="G67" s="1"/>
      <c r="H67" s="1"/>
      <c r="I67" s="1"/>
      <c r="J67" s="1"/>
      <c r="K67" s="1"/>
      <c r="M67" s="1"/>
      <c r="N67" s="1"/>
      <c r="O67" s="1"/>
      <c r="P67" s="1"/>
      <c r="Q67" s="1"/>
    </row>
    <row r="68" spans="1:17" x14ac:dyDescent="0.25">
      <c r="B68" s="153">
        <v>0.05</v>
      </c>
      <c r="C68" s="154">
        <f>K63</f>
        <v>994.74760762219239</v>
      </c>
      <c r="G68" s="1"/>
      <c r="H68" s="1"/>
      <c r="I68" s="1"/>
      <c r="J68" s="1"/>
      <c r="K68" s="1"/>
      <c r="M68" s="1"/>
      <c r="N68" s="1"/>
      <c r="O68" s="1"/>
      <c r="P68" s="1"/>
      <c r="Q68" s="1"/>
    </row>
    <row r="69" spans="1:17" x14ac:dyDescent="0.25">
      <c r="B69" s="153">
        <v>7.4999999999999997E-2</v>
      </c>
      <c r="C69" s="154">
        <f>Q63</f>
        <v>721.70962760987322</v>
      </c>
      <c r="G69" s="91"/>
      <c r="H69" s="91"/>
      <c r="I69" s="91"/>
      <c r="J69" s="91"/>
      <c r="K69" s="91"/>
      <c r="M69" s="91"/>
      <c r="N69" s="91"/>
      <c r="O69" s="91"/>
      <c r="P69" s="91"/>
      <c r="Q69" s="91"/>
    </row>
    <row r="70" spans="1:17" x14ac:dyDescent="0.25">
      <c r="B70" s="153">
        <v>0.1</v>
      </c>
      <c r="C70" s="154">
        <f>W63</f>
        <v>510.97162619942537</v>
      </c>
    </row>
    <row r="71" spans="1:17" x14ac:dyDescent="0.25">
      <c r="B71" s="153">
        <v>0.125</v>
      </c>
      <c r="C71" s="154">
        <f>AC63</f>
        <v>347.40804862976785</v>
      </c>
    </row>
    <row r="72" spans="1:17" x14ac:dyDescent="0.25">
      <c r="B72" s="153">
        <v>0.15</v>
      </c>
      <c r="C72" s="154">
        <f>AI63</f>
        <v>219.80977195082733</v>
      </c>
    </row>
    <row r="73" spans="1:17" x14ac:dyDescent="0.25">
      <c r="B73" s="153">
        <v>0.17499999999999999</v>
      </c>
      <c r="C73" s="154">
        <f>AO63</f>
        <v>119.80890947250333</v>
      </c>
    </row>
    <row r="74" spans="1:17" x14ac:dyDescent="0.25">
      <c r="B74" s="153">
        <v>0.2</v>
      </c>
      <c r="C74" s="154">
        <f>AU63</f>
        <v>41.114724495828511</v>
      </c>
    </row>
    <row r="75" spans="1:17" x14ac:dyDescent="0.25">
      <c r="B75" s="153">
        <v>0.22500000000000001</v>
      </c>
      <c r="C75" s="154">
        <f>BA63</f>
        <v>-21.033739887944776</v>
      </c>
    </row>
    <row r="76" spans="1:17" x14ac:dyDescent="0.25">
      <c r="B76" s="153">
        <v>0.25</v>
      </c>
      <c r="C76" s="154">
        <f>BG63</f>
        <v>-70.262806338076047</v>
      </c>
    </row>
    <row r="80" spans="1:17" x14ac:dyDescent="0.25">
      <c r="A80" s="181" t="s">
        <v>89</v>
      </c>
      <c r="B80" s="181"/>
    </row>
    <row r="81" spans="1:5" x14ac:dyDescent="0.25">
      <c r="A81" s="119"/>
      <c r="B81" s="119"/>
    </row>
    <row r="82" spans="1:5" x14ac:dyDescent="0.25">
      <c r="A82" s="151" t="s">
        <v>90</v>
      </c>
      <c r="B82" s="152">
        <v>0.21586785340081246</v>
      </c>
      <c r="D82" s="6"/>
      <c r="E82" s="6"/>
    </row>
    <row r="83" spans="1:5" x14ac:dyDescent="0.25">
      <c r="A83" s="126"/>
      <c r="B83" s="126"/>
    </row>
    <row r="84" spans="1:5" x14ac:dyDescent="0.25">
      <c r="A84" s="3" t="s">
        <v>9</v>
      </c>
      <c r="B84" s="3" t="s">
        <v>86</v>
      </c>
      <c r="C84" s="3" t="s">
        <v>10</v>
      </c>
      <c r="D84" s="3" t="s">
        <v>87</v>
      </c>
      <c r="E84" s="3" t="s">
        <v>88</v>
      </c>
    </row>
    <row r="85" spans="1:5" x14ac:dyDescent="0.25">
      <c r="A85" s="3">
        <v>2021</v>
      </c>
      <c r="B85" s="3">
        <v>0</v>
      </c>
      <c r="C85" s="3">
        <v>-150</v>
      </c>
      <c r="D85" s="9">
        <f t="shared" ref="D85:D96" si="22">(1/(1+$B$82)^B85)</f>
        <v>1</v>
      </c>
      <c r="E85" s="122">
        <f t="shared" ref="E85:E96" si="23">C85*D85</f>
        <v>-150</v>
      </c>
    </row>
    <row r="86" spans="1:5" x14ac:dyDescent="0.25">
      <c r="A86" s="3">
        <v>2022</v>
      </c>
      <c r="B86" s="3">
        <v>1</v>
      </c>
      <c r="C86" s="101">
        <v>-117.80000000000001</v>
      </c>
      <c r="D86" s="9">
        <f t="shared" si="22"/>
        <v>0.82245780016551573</v>
      </c>
      <c r="E86" s="122">
        <f t="shared" si="23"/>
        <v>-96.885528859497768</v>
      </c>
    </row>
    <row r="87" spans="1:5" x14ac:dyDescent="0.25">
      <c r="A87" s="3">
        <v>2023</v>
      </c>
      <c r="B87" s="3">
        <v>2</v>
      </c>
      <c r="C87" s="101">
        <v>-122.50204480000014</v>
      </c>
      <c r="D87" s="9">
        <f t="shared" si="22"/>
        <v>0.67643683305309932</v>
      </c>
      <c r="E87" s="122">
        <f t="shared" si="23"/>
        <v>-82.864895227040989</v>
      </c>
    </row>
    <row r="88" spans="1:5" x14ac:dyDescent="0.25">
      <c r="A88" s="3">
        <v>2024</v>
      </c>
      <c r="B88" s="3">
        <v>3</v>
      </c>
      <c r="C88" s="101">
        <v>-58.591621800960695</v>
      </c>
      <c r="D88" s="9">
        <f t="shared" si="22"/>
        <v>0.55634074966378033</v>
      </c>
      <c r="E88" s="122">
        <f t="shared" si="23"/>
        <v>-32.596906796763172</v>
      </c>
    </row>
    <row r="89" spans="1:5" x14ac:dyDescent="0.25">
      <c r="A89" s="3">
        <v>2025</v>
      </c>
      <c r="B89" s="3">
        <v>4</v>
      </c>
      <c r="C89" s="101">
        <v>0.87563092258324104</v>
      </c>
      <c r="D89" s="9">
        <f t="shared" si="22"/>
        <v>0.45756678911090659</v>
      </c>
      <c r="E89" s="122">
        <f t="shared" si="23"/>
        <v>0.40065962969263441</v>
      </c>
    </row>
    <row r="90" spans="1:5" x14ac:dyDescent="0.25">
      <c r="A90" s="3">
        <v>2026</v>
      </c>
      <c r="B90" s="3">
        <v>5</v>
      </c>
      <c r="C90" s="101">
        <v>71.362051685996221</v>
      </c>
      <c r="D90" s="9">
        <f t="shared" si="22"/>
        <v>0.37632937480095469</v>
      </c>
      <c r="E90" s="122">
        <f t="shared" si="23"/>
        <v>26.855636295504372</v>
      </c>
    </row>
    <row r="91" spans="1:5" x14ac:dyDescent="0.25">
      <c r="A91" s="3">
        <v>2027</v>
      </c>
      <c r="B91" s="3">
        <v>6</v>
      </c>
      <c r="C91" s="101">
        <v>57.392781471490665</v>
      </c>
      <c r="D91" s="9">
        <f t="shared" si="22"/>
        <v>0.309515029736457</v>
      </c>
      <c r="E91" s="122">
        <f t="shared" si="23"/>
        <v>17.763928463806412</v>
      </c>
    </row>
    <row r="92" spans="1:5" x14ac:dyDescent="0.25">
      <c r="A92" s="3">
        <v>2028</v>
      </c>
      <c r="B92" s="3">
        <v>7</v>
      </c>
      <c r="C92" s="101">
        <v>134.10135406120844</v>
      </c>
      <c r="D92" s="9">
        <f t="shared" si="22"/>
        <v>0.25456305047521066</v>
      </c>
      <c r="E92" s="122">
        <f t="shared" si="23"/>
        <v>34.137249762677499</v>
      </c>
    </row>
    <row r="93" spans="1:5" x14ac:dyDescent="0.25">
      <c r="A93" s="3">
        <v>2029</v>
      </c>
      <c r="B93" s="3">
        <v>8</v>
      </c>
      <c r="C93" s="101">
        <v>224.41608041861505</v>
      </c>
      <c r="D93" s="9">
        <f t="shared" si="22"/>
        <v>0.20936736649726487</v>
      </c>
      <c r="E93" s="122">
        <f t="shared" si="23"/>
        <v>46.985403756883841</v>
      </c>
    </row>
    <row r="94" spans="1:5" x14ac:dyDescent="0.25">
      <c r="A94" s="3">
        <v>2030</v>
      </c>
      <c r="B94" s="3">
        <v>9</v>
      </c>
      <c r="C94" s="101">
        <v>320.87575759440318</v>
      </c>
      <c r="D94" s="9">
        <f t="shared" si="22"/>
        <v>0.17219582367578776</v>
      </c>
      <c r="E94" s="122">
        <f t="shared" si="23"/>
        <v>55.253465376560662</v>
      </c>
    </row>
    <row r="95" spans="1:5" x14ac:dyDescent="0.25">
      <c r="A95" s="3">
        <v>2031</v>
      </c>
      <c r="B95" s="3">
        <v>10</v>
      </c>
      <c r="C95" s="101">
        <v>444.7579001836736</v>
      </c>
      <c r="D95" s="9">
        <f t="shared" si="22"/>
        <v>0.14162379833807742</v>
      </c>
      <c r="E95" s="122">
        <f t="shared" si="23"/>
        <v>62.988303164879355</v>
      </c>
    </row>
    <row r="96" spans="1:5" x14ac:dyDescent="0.25">
      <c r="A96" s="3">
        <v>2032</v>
      </c>
      <c r="B96" s="3">
        <v>11</v>
      </c>
      <c r="C96" s="101">
        <f>589.193455793097+$H$2</f>
        <v>1012.7326238091531</v>
      </c>
      <c r="D96" s="9">
        <f t="shared" si="22"/>
        <v>0.11647959763221978</v>
      </c>
      <c r="E96" s="122">
        <f t="shared" si="23"/>
        <v>117.96268853031235</v>
      </c>
    </row>
    <row r="98" spans="4:5" x14ac:dyDescent="0.25">
      <c r="D98" s="3" t="s">
        <v>84</v>
      </c>
      <c r="E98" s="123">
        <f>SUM(E85:E96)</f>
        <v>4.0970152781483193E-6</v>
      </c>
    </row>
  </sheetData>
  <mergeCells count="5">
    <mergeCell ref="A80:B80"/>
    <mergeCell ref="J12:L12"/>
    <mergeCell ref="A2:E2"/>
    <mergeCell ref="A21:B21"/>
    <mergeCell ref="G21:H2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0120A-9C27-4C5B-8CC4-18B75CB03AFE}">
  <dimension ref="A1:L98"/>
  <sheetViews>
    <sheetView workbookViewId="0">
      <selection activeCell="F17" sqref="F17"/>
    </sheetView>
  </sheetViews>
  <sheetFormatPr defaultRowHeight="15" x14ac:dyDescent="0.25"/>
  <cols>
    <col min="1" max="1" width="19.85546875" customWidth="1"/>
    <col min="2" max="2" width="27.7109375" customWidth="1"/>
    <col min="3" max="3" width="20.5703125" customWidth="1"/>
    <col min="4" max="4" width="18.7109375" customWidth="1"/>
    <col min="5" max="5" width="17.7109375" customWidth="1"/>
    <col min="6" max="6" width="17.85546875" customWidth="1"/>
    <col min="7" max="7" width="27.5703125" customWidth="1"/>
    <col min="8" max="8" width="11" customWidth="1"/>
    <col min="9" max="9" width="14.7109375" customWidth="1"/>
    <col min="10" max="11" width="17.7109375" customWidth="1"/>
    <col min="12" max="12" width="13.7109375" customWidth="1"/>
  </cols>
  <sheetData>
    <row r="1" spans="1:12" x14ac:dyDescent="0.25">
      <c r="A1" t="s">
        <v>22</v>
      </c>
      <c r="B1" s="5">
        <v>1.4999999999999999E-2</v>
      </c>
    </row>
    <row r="2" spans="1:12" ht="15.75" thickBot="1" x14ac:dyDescent="0.3"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ht="15.75" thickBot="1" x14ac:dyDescent="0.3">
      <c r="A3" s="162" t="s">
        <v>13</v>
      </c>
      <c r="B3" s="163"/>
      <c r="C3" s="57" t="s">
        <v>8</v>
      </c>
    </row>
    <row r="4" spans="1:12" x14ac:dyDescent="0.25">
      <c r="A4" s="15" t="s">
        <v>9</v>
      </c>
      <c r="B4" s="160" t="s">
        <v>24</v>
      </c>
      <c r="C4" s="161"/>
      <c r="D4" s="160" t="s">
        <v>15</v>
      </c>
      <c r="E4" s="189"/>
      <c r="F4" s="164" t="s">
        <v>93</v>
      </c>
      <c r="G4" s="165"/>
      <c r="H4" s="166"/>
    </row>
    <row r="5" spans="1:12" ht="15.75" thickBot="1" x14ac:dyDescent="0.3">
      <c r="A5" s="25"/>
      <c r="B5" s="26" t="s">
        <v>16</v>
      </c>
      <c r="C5" s="27" t="s">
        <v>1</v>
      </c>
      <c r="D5" s="26" t="s">
        <v>16</v>
      </c>
      <c r="E5" s="131" t="s">
        <v>1</v>
      </c>
      <c r="F5" s="132" t="s">
        <v>1</v>
      </c>
      <c r="G5" s="133" t="s">
        <v>94</v>
      </c>
      <c r="H5" s="27" t="s">
        <v>56</v>
      </c>
    </row>
    <row r="6" spans="1:12" x14ac:dyDescent="0.25">
      <c r="A6" s="134">
        <v>2033</v>
      </c>
      <c r="B6" s="135">
        <f>'SHEET 1'!B42*1.05</f>
        <v>84.854211404545623</v>
      </c>
      <c r="C6" s="135">
        <f>'SHEET 1'!C42*1.08</f>
        <v>81.588711784934887</v>
      </c>
      <c r="D6" s="136">
        <f>'SHEET 1'!D42*1.05</f>
        <v>84.854211404545623</v>
      </c>
      <c r="E6" s="135">
        <f>'SHEET 1'!E42*1.1</f>
        <v>99.836259780201132</v>
      </c>
      <c r="F6" s="76">
        <f>E6-C6</f>
        <v>18.247547995266245</v>
      </c>
      <c r="G6" s="76">
        <f>'SHEET 1'!H42</f>
        <v>10.794624986363935</v>
      </c>
      <c r="H6" s="137">
        <f>F6+G6</f>
        <v>29.042172981630181</v>
      </c>
    </row>
    <row r="7" spans="1:12" x14ac:dyDescent="0.25">
      <c r="A7" s="138">
        <v>2034</v>
      </c>
      <c r="B7" s="116">
        <f>B6*1.05</f>
        <v>89.096921974772911</v>
      </c>
      <c r="C7" s="116">
        <f>C6*1.08</f>
        <v>88.115808727729686</v>
      </c>
      <c r="D7" s="116">
        <f>D6+(D6*0.05)</f>
        <v>89.096921974772897</v>
      </c>
      <c r="E7" s="116">
        <f>E6+E6*0.1</f>
        <v>109.81988575822125</v>
      </c>
      <c r="F7" s="9">
        <f t="shared" ref="F7:F10" si="0">E7-C7</f>
        <v>21.704077030491561</v>
      </c>
      <c r="G7" s="9">
        <f>G6+G6*0.08</f>
        <v>11.658194985273051</v>
      </c>
      <c r="H7" s="22">
        <f t="shared" ref="H7:H10" si="1">F7+G7</f>
        <v>33.36227201576461</v>
      </c>
    </row>
    <row r="8" spans="1:12" x14ac:dyDescent="0.25">
      <c r="A8" s="138">
        <v>2035</v>
      </c>
      <c r="B8" s="116">
        <f t="shared" ref="B8:B10" si="2">B7*1.05</f>
        <v>93.551768073511568</v>
      </c>
      <c r="C8" s="116">
        <f t="shared" ref="C8:C10" si="3">C7*1.08</f>
        <v>95.165073425948066</v>
      </c>
      <c r="D8" s="116">
        <f t="shared" ref="D8:D10" si="4">D7+(D7*0.05)</f>
        <v>93.551768073511539</v>
      </c>
      <c r="E8" s="116">
        <f t="shared" ref="E8:E10" si="5">E7+E7*0.1</f>
        <v>120.80187433404338</v>
      </c>
      <c r="F8" s="9">
        <f t="shared" si="0"/>
        <v>25.63680090809531</v>
      </c>
      <c r="G8" s="9">
        <f t="shared" ref="G8:G10" si="6">G7+G7*0.08</f>
        <v>12.590850584094895</v>
      </c>
      <c r="H8" s="22">
        <f t="shared" si="1"/>
        <v>38.227651492190205</v>
      </c>
    </row>
    <row r="9" spans="1:12" x14ac:dyDescent="0.25">
      <c r="A9" s="138">
        <v>2036</v>
      </c>
      <c r="B9" s="116">
        <f t="shared" si="2"/>
        <v>98.229356477187153</v>
      </c>
      <c r="C9" s="116">
        <f t="shared" si="3"/>
        <v>102.77827930002391</v>
      </c>
      <c r="D9" s="116">
        <f t="shared" si="4"/>
        <v>98.22935647718711</v>
      </c>
      <c r="E9" s="116">
        <f t="shared" si="5"/>
        <v>132.88206176744771</v>
      </c>
      <c r="F9" s="9">
        <f t="shared" si="0"/>
        <v>30.103782467423798</v>
      </c>
      <c r="G9" s="9">
        <f t="shared" si="6"/>
        <v>13.598118630822487</v>
      </c>
      <c r="H9" s="22">
        <f t="shared" si="1"/>
        <v>43.701901098246282</v>
      </c>
    </row>
    <row r="10" spans="1:12" ht="15.75" thickBot="1" x14ac:dyDescent="0.3">
      <c r="A10" s="47">
        <v>2037</v>
      </c>
      <c r="B10" s="139">
        <f t="shared" si="2"/>
        <v>103.14082430104652</v>
      </c>
      <c r="C10" s="139">
        <f t="shared" si="3"/>
        <v>111.00054164402583</v>
      </c>
      <c r="D10" s="139">
        <f t="shared" si="4"/>
        <v>103.14082430104646</v>
      </c>
      <c r="E10" s="139">
        <f t="shared" si="5"/>
        <v>146.17026794419249</v>
      </c>
      <c r="F10" s="23">
        <f t="shared" si="0"/>
        <v>35.169726300166658</v>
      </c>
      <c r="G10" s="23">
        <f t="shared" si="6"/>
        <v>14.685968121288287</v>
      </c>
      <c r="H10" s="24">
        <f t="shared" si="1"/>
        <v>49.855694421454942</v>
      </c>
    </row>
    <row r="11" spans="1:12" x14ac:dyDescent="0.25">
      <c r="A11" s="126"/>
      <c r="B11" s="126"/>
      <c r="C11" s="126"/>
      <c r="D11" s="128"/>
      <c r="E11" s="126"/>
    </row>
    <row r="12" spans="1:12" ht="15.75" thickBot="1" x14ac:dyDescent="0.3">
      <c r="A12" s="126"/>
      <c r="B12" s="126"/>
      <c r="C12" s="126"/>
      <c r="D12" s="128"/>
      <c r="E12" s="126"/>
    </row>
    <row r="13" spans="1:12" ht="15.75" thickBot="1" x14ac:dyDescent="0.3">
      <c r="A13" s="162" t="s">
        <v>19</v>
      </c>
      <c r="B13" s="163"/>
      <c r="C13" s="57" t="s">
        <v>8</v>
      </c>
      <c r="D13" s="162" t="s">
        <v>25</v>
      </c>
      <c r="E13" s="163"/>
      <c r="F13" s="57" t="s">
        <v>8</v>
      </c>
      <c r="G13" s="1"/>
      <c r="H13" s="1"/>
      <c r="I13" s="183"/>
      <c r="J13" s="183"/>
      <c r="K13" s="1"/>
    </row>
    <row r="14" spans="1:12" x14ac:dyDescent="0.25">
      <c r="A14" s="160" t="s">
        <v>21</v>
      </c>
      <c r="B14" s="167"/>
      <c r="C14" s="161"/>
      <c r="D14" s="15" t="s">
        <v>9</v>
      </c>
      <c r="E14" s="146" t="s">
        <v>34</v>
      </c>
      <c r="F14" s="144"/>
      <c r="G14" s="1"/>
      <c r="H14" s="1"/>
      <c r="I14" s="1"/>
      <c r="J14" s="1"/>
    </row>
    <row r="15" spans="1:12" x14ac:dyDescent="0.25">
      <c r="A15" s="132" t="s">
        <v>9</v>
      </c>
      <c r="B15" s="145" t="s">
        <v>16</v>
      </c>
      <c r="C15" s="27" t="s">
        <v>1</v>
      </c>
      <c r="D15" s="25"/>
      <c r="E15" s="27" t="s">
        <v>1</v>
      </c>
    </row>
    <row r="16" spans="1:12" x14ac:dyDescent="0.25">
      <c r="A16" s="110">
        <v>2033</v>
      </c>
      <c r="B16" s="116">
        <f>'SHEET 1'!B25+'SHEET 1'!B25*$B$1</f>
        <v>42.406161746418988</v>
      </c>
      <c r="C16" s="116">
        <f>'SHEET 1'!C25+'SHEET 1'!C25*$B$1</f>
        <v>56.54154899522532</v>
      </c>
      <c r="D16" s="110">
        <v>2033</v>
      </c>
      <c r="E16" s="116">
        <f>(C16*F6)+(G6*0.6*C16)</f>
        <v>1397.9515195480199</v>
      </c>
    </row>
    <row r="17" spans="1:11" x14ac:dyDescent="0.25">
      <c r="A17" s="110">
        <v>2034</v>
      </c>
      <c r="B17" s="116">
        <f>B16+B16*$B$1</f>
        <v>43.042254172615273</v>
      </c>
      <c r="C17" s="116">
        <f>C16+C16*$B$1</f>
        <v>57.3896722301537</v>
      </c>
      <c r="D17" s="110">
        <v>2034</v>
      </c>
      <c r="E17" s="116">
        <f t="shared" ref="E17:E20" si="7">(C17*F7)+(G7*0.6*C17)</f>
        <v>1647.0258602379436</v>
      </c>
    </row>
    <row r="18" spans="1:11" x14ac:dyDescent="0.25">
      <c r="A18" s="110">
        <v>2035</v>
      </c>
      <c r="B18" s="116">
        <f>B17+B17*$B$1</f>
        <v>43.687887985204505</v>
      </c>
      <c r="C18" s="116">
        <f t="shared" ref="C18:C20" si="8">C17+C17*$B$1</f>
        <v>58.250517313606004</v>
      </c>
      <c r="D18" s="110">
        <v>2035</v>
      </c>
      <c r="E18" s="116">
        <f t="shared" si="7"/>
        <v>1933.4110511275835</v>
      </c>
    </row>
    <row r="19" spans="1:11" x14ac:dyDescent="0.25">
      <c r="A19" s="110">
        <v>2036</v>
      </c>
      <c r="B19" s="116">
        <f>B18+B18*$B$1</f>
        <v>44.343206304982573</v>
      </c>
      <c r="C19" s="116">
        <f t="shared" si="8"/>
        <v>59.124275073310095</v>
      </c>
      <c r="D19" s="110">
        <v>2036</v>
      </c>
      <c r="E19" s="116">
        <f t="shared" si="7"/>
        <v>2262.2516591960052</v>
      </c>
    </row>
    <row r="20" spans="1:11" x14ac:dyDescent="0.25">
      <c r="A20" s="110">
        <v>2037</v>
      </c>
      <c r="B20" s="116">
        <f>B19+B19*$B$1</f>
        <v>45.008354399557312</v>
      </c>
      <c r="C20" s="116">
        <f t="shared" si="8"/>
        <v>60.011139199409747</v>
      </c>
      <c r="D20" s="110">
        <v>2037</v>
      </c>
      <c r="E20" s="116">
        <f t="shared" si="7"/>
        <v>2639.3683469272783</v>
      </c>
    </row>
    <row r="21" spans="1:11" ht="15.75" thickBot="1" x14ac:dyDescent="0.3">
      <c r="I21" s="6"/>
      <c r="J21" s="109"/>
      <c r="K21" s="141"/>
    </row>
    <row r="22" spans="1:11" ht="15.75" thickBot="1" x14ac:dyDescent="0.3">
      <c r="A22" s="162" t="s">
        <v>30</v>
      </c>
      <c r="B22" s="163"/>
      <c r="C22" s="57" t="s">
        <v>8</v>
      </c>
      <c r="D22" s="169" t="s">
        <v>31</v>
      </c>
      <c r="E22" s="170"/>
      <c r="F22" s="72" t="s">
        <v>8</v>
      </c>
      <c r="I22" s="6"/>
      <c r="J22" s="109"/>
      <c r="K22" s="141"/>
    </row>
    <row r="23" spans="1:11" x14ac:dyDescent="0.25">
      <c r="A23" s="160" t="s">
        <v>21</v>
      </c>
      <c r="B23" s="167"/>
      <c r="C23" s="161"/>
      <c r="D23" s="74" t="s">
        <v>9</v>
      </c>
      <c r="E23" s="147" t="s">
        <v>34</v>
      </c>
      <c r="F23" s="148"/>
      <c r="I23" s="6"/>
      <c r="J23" s="109"/>
      <c r="K23" s="141"/>
    </row>
    <row r="24" spans="1:11" x14ac:dyDescent="0.25">
      <c r="A24" s="132" t="s">
        <v>9</v>
      </c>
      <c r="B24" s="145" t="s">
        <v>16</v>
      </c>
      <c r="C24" s="27" t="s">
        <v>1</v>
      </c>
      <c r="D24" s="140"/>
      <c r="E24" s="27" t="s">
        <v>1</v>
      </c>
      <c r="H24" s="6"/>
      <c r="I24" s="109"/>
      <c r="J24" s="141"/>
    </row>
    <row r="25" spans="1:11" x14ac:dyDescent="0.25">
      <c r="A25" s="110">
        <v>2033</v>
      </c>
      <c r="B25" s="9">
        <f>'SHEET 1'!F25+'SHEET 1'!F25*'Q3 Working'!B1</f>
        <v>117.79489374005274</v>
      </c>
      <c r="C25" s="9">
        <f>'SHEET 1'!G25+'SHEET 1'!G25*'Q3 Working'!B1</f>
        <v>117.79489374005274</v>
      </c>
      <c r="D25" s="110">
        <v>2033</v>
      </c>
      <c r="E25" s="9">
        <f>(C25*F6)+(C25*G6*0.5)</f>
        <v>2785.2438287351288</v>
      </c>
      <c r="H25" s="6"/>
      <c r="I25" s="109"/>
      <c r="J25" s="141"/>
    </row>
    <row r="26" spans="1:11" x14ac:dyDescent="0.25">
      <c r="A26" s="110">
        <v>2034</v>
      </c>
      <c r="B26" s="9">
        <f>B25+B25*$B$1</f>
        <v>119.56181714615353</v>
      </c>
      <c r="C26" s="9">
        <f>C25+C25*$B$1</f>
        <v>119.56181714615353</v>
      </c>
      <c r="D26" s="110">
        <v>2034</v>
      </c>
      <c r="E26" s="9">
        <f t="shared" ref="E26:E29" si="9">(C26*F7)+(C26*G7*0.5)</f>
        <v>3291.9163777873737</v>
      </c>
      <c r="H26" s="6"/>
      <c r="I26" s="109"/>
      <c r="J26" s="141"/>
    </row>
    <row r="27" spans="1:11" x14ac:dyDescent="0.25">
      <c r="A27" s="110">
        <v>2035</v>
      </c>
      <c r="B27" s="9">
        <f t="shared" ref="B27:B29" si="10">B26+B26*$B$1</f>
        <v>121.35524440334584</v>
      </c>
      <c r="C27" s="9">
        <f t="shared" ref="C27:C29" si="11">C26+C26*$B$1</f>
        <v>121.35524440334584</v>
      </c>
      <c r="D27" s="110">
        <v>2035</v>
      </c>
      <c r="E27" s="9">
        <f t="shared" si="9"/>
        <v>3875.1431148612478</v>
      </c>
      <c r="H27" s="6"/>
      <c r="I27" s="109"/>
      <c r="J27" s="141"/>
    </row>
    <row r="28" spans="1:11" x14ac:dyDescent="0.25">
      <c r="A28" s="110">
        <v>2036</v>
      </c>
      <c r="B28" s="9">
        <f t="shared" si="10"/>
        <v>123.17557306939602</v>
      </c>
      <c r="C28" s="9">
        <f t="shared" si="11"/>
        <v>123.17557306939602</v>
      </c>
      <c r="D28" s="110">
        <v>2036</v>
      </c>
      <c r="E28" s="9">
        <f t="shared" si="9"/>
        <v>4545.5286844899583</v>
      </c>
    </row>
    <row r="29" spans="1:11" x14ac:dyDescent="0.25">
      <c r="A29" s="110">
        <v>2037</v>
      </c>
      <c r="B29" s="9">
        <f t="shared" si="10"/>
        <v>125.02320666543696</v>
      </c>
      <c r="C29" s="9">
        <f t="shared" si="11"/>
        <v>125.02320666543696</v>
      </c>
      <c r="D29" s="110">
        <v>2037</v>
      </c>
      <c r="E29" s="9">
        <f t="shared" si="9"/>
        <v>5315.0753733475112</v>
      </c>
    </row>
    <row r="31" spans="1:11" x14ac:dyDescent="0.25">
      <c r="A31" s="159" t="s">
        <v>4</v>
      </c>
      <c r="B31" s="159"/>
    </row>
    <row r="33" spans="1:4" x14ac:dyDescent="0.25">
      <c r="A33" s="3" t="s">
        <v>9</v>
      </c>
      <c r="B33" s="96" t="s">
        <v>10</v>
      </c>
    </row>
    <row r="34" spans="1:4" x14ac:dyDescent="0.25">
      <c r="A34" s="110">
        <v>2033</v>
      </c>
      <c r="B34" s="9">
        <f>'Positive Cashflows'!C19+('Positive Cashflows'!C19*0.03)</f>
        <v>41.527016121733361</v>
      </c>
    </row>
    <row r="35" spans="1:4" x14ac:dyDescent="0.25">
      <c r="A35" s="110">
        <v>2034</v>
      </c>
      <c r="B35" s="9">
        <f>B34+(B34*0.03)</f>
        <v>42.772826605385362</v>
      </c>
    </row>
    <row r="36" spans="1:4" x14ac:dyDescent="0.25">
      <c r="A36" s="110">
        <v>2035</v>
      </c>
      <c r="B36" s="9">
        <f t="shared" ref="B36:B38" si="12">B35+(B35*0.03)</f>
        <v>44.056011403546925</v>
      </c>
    </row>
    <row r="37" spans="1:4" x14ac:dyDescent="0.25">
      <c r="A37" s="110">
        <v>2036</v>
      </c>
      <c r="B37" s="9">
        <f t="shared" si="12"/>
        <v>45.37769174565333</v>
      </c>
    </row>
    <row r="38" spans="1:4" x14ac:dyDescent="0.25">
      <c r="A38" s="110">
        <v>2037</v>
      </c>
      <c r="B38" s="9">
        <f t="shared" si="12"/>
        <v>46.739022498022926</v>
      </c>
    </row>
    <row r="40" spans="1:4" x14ac:dyDescent="0.25">
      <c r="A40" s="159" t="s">
        <v>44</v>
      </c>
      <c r="B40" s="159"/>
    </row>
    <row r="42" spans="1:4" x14ac:dyDescent="0.25">
      <c r="A42" s="3" t="s">
        <v>9</v>
      </c>
      <c r="B42" s="182" t="s">
        <v>45</v>
      </c>
      <c r="C42" s="182"/>
      <c r="D42" s="96" t="s">
        <v>10</v>
      </c>
    </row>
    <row r="43" spans="1:4" x14ac:dyDescent="0.25">
      <c r="A43" s="3"/>
      <c r="B43" s="107" t="s">
        <v>46</v>
      </c>
      <c r="C43" s="107" t="s">
        <v>47</v>
      </c>
      <c r="D43" s="96" t="s">
        <v>48</v>
      </c>
    </row>
    <row r="44" spans="1:4" x14ac:dyDescent="0.25">
      <c r="A44" s="110">
        <v>2033</v>
      </c>
      <c r="B44" s="9">
        <f>'Negative Cashflows'!C76+'Negative Cashflows'!C76*0.05</f>
        <v>855.16967905815659</v>
      </c>
      <c r="C44" s="9">
        <f>'Negative Cashflows'!D76+('Negative Cashflows'!D76*0.15)</f>
        <v>1077.1065719565829</v>
      </c>
      <c r="D44" s="9">
        <f>C44-B44</f>
        <v>221.93689289842632</v>
      </c>
    </row>
    <row r="45" spans="1:4" x14ac:dyDescent="0.25">
      <c r="A45" s="110">
        <v>2034</v>
      </c>
      <c r="B45" s="9">
        <f>B44+(B44*0.05)</f>
        <v>897.92816301106438</v>
      </c>
      <c r="C45" s="9">
        <f>C44+(C44*0.15)</f>
        <v>1238.6725577500704</v>
      </c>
      <c r="D45" s="9">
        <f t="shared" ref="D45:D48" si="13">C45-B45</f>
        <v>340.744394739006</v>
      </c>
    </row>
    <row r="46" spans="1:4" x14ac:dyDescent="0.25">
      <c r="A46" s="110">
        <v>2035</v>
      </c>
      <c r="B46" s="9">
        <f t="shared" ref="B46:B48" si="14">B45+(B45*0.05)</f>
        <v>942.82457116161765</v>
      </c>
      <c r="C46" s="9">
        <f t="shared" ref="C46:C48" si="15">C45+(C45*0.15)</f>
        <v>1424.473441412581</v>
      </c>
      <c r="D46" s="9">
        <f t="shared" si="13"/>
        <v>481.64887025096334</v>
      </c>
    </row>
    <row r="47" spans="1:4" x14ac:dyDescent="0.25">
      <c r="A47" s="110">
        <v>2036</v>
      </c>
      <c r="B47" s="9">
        <f t="shared" si="14"/>
        <v>989.96579971969857</v>
      </c>
      <c r="C47" s="9">
        <f t="shared" si="15"/>
        <v>1638.144457624468</v>
      </c>
      <c r="D47" s="9">
        <f t="shared" si="13"/>
        <v>648.17865790476947</v>
      </c>
    </row>
    <row r="48" spans="1:4" x14ac:dyDescent="0.25">
      <c r="A48" s="110">
        <v>2037</v>
      </c>
      <c r="B48" s="9">
        <f t="shared" si="14"/>
        <v>1039.4640897056836</v>
      </c>
      <c r="C48" s="9">
        <f t="shared" si="15"/>
        <v>1883.8661262681383</v>
      </c>
      <c r="D48" s="9">
        <f t="shared" si="13"/>
        <v>844.40203656245467</v>
      </c>
    </row>
    <row r="50" spans="1:8" x14ac:dyDescent="0.25">
      <c r="A50" s="159" t="s">
        <v>42</v>
      </c>
      <c r="B50" s="159"/>
      <c r="C50" s="159"/>
      <c r="D50" s="181" t="s">
        <v>41</v>
      </c>
      <c r="E50" s="181"/>
      <c r="F50" s="181"/>
      <c r="G50" s="181"/>
      <c r="H50" s="181"/>
    </row>
    <row r="51" spans="1:8" ht="15.75" thickBot="1" x14ac:dyDescent="0.3"/>
    <row r="52" spans="1:8" x14ac:dyDescent="0.25">
      <c r="A52" s="3" t="s">
        <v>9</v>
      </c>
      <c r="B52" s="3" t="s">
        <v>12</v>
      </c>
      <c r="C52" s="84" t="s">
        <v>37</v>
      </c>
      <c r="D52" s="84" t="s">
        <v>36</v>
      </c>
      <c r="E52" s="84" t="s">
        <v>39</v>
      </c>
      <c r="F52" s="99" t="s">
        <v>10</v>
      </c>
      <c r="G52" s="8"/>
      <c r="H52" s="90" t="s">
        <v>38</v>
      </c>
    </row>
    <row r="53" spans="1:8" ht="15.75" thickBot="1" x14ac:dyDescent="0.3">
      <c r="A53" s="85">
        <v>2021</v>
      </c>
      <c r="B53" s="85">
        <v>0.65</v>
      </c>
      <c r="C53" s="56">
        <f>'Negative Cashflows'!D32</f>
        <v>79.650000000000006</v>
      </c>
      <c r="D53" s="3" t="s">
        <v>40</v>
      </c>
      <c r="E53" s="3" t="s">
        <v>40</v>
      </c>
      <c r="F53" s="96"/>
      <c r="G53" s="1"/>
      <c r="H53" s="82">
        <f>C53/B53</f>
        <v>122.53846153846155</v>
      </c>
    </row>
    <row r="54" spans="1:8" x14ac:dyDescent="0.25">
      <c r="A54" s="96">
        <v>2022</v>
      </c>
      <c r="B54" s="97">
        <f>C54/$H$53</f>
        <v>4.0803515379786562E-2</v>
      </c>
      <c r="C54" s="97">
        <f>'SHEET 1'!M32</f>
        <v>5</v>
      </c>
      <c r="D54" s="96">
        <v>0</v>
      </c>
      <c r="E54" s="97">
        <v>600</v>
      </c>
      <c r="F54" s="97">
        <f>E54</f>
        <v>600</v>
      </c>
      <c r="G54" s="91"/>
    </row>
    <row r="55" spans="1:8" x14ac:dyDescent="0.25">
      <c r="A55" s="3">
        <v>2023</v>
      </c>
      <c r="B55" s="97">
        <f>B54+(C55/$H$53)</f>
        <v>9.058249843063404E-2</v>
      </c>
      <c r="C55" s="97">
        <f>'SHEET 1'!M33</f>
        <v>6.0998400000000021</v>
      </c>
      <c r="D55" s="3">
        <v>0</v>
      </c>
      <c r="E55" s="9">
        <f>E54+(E54*'SHEET 1'!$B$8)</f>
        <v>609</v>
      </c>
      <c r="F55" s="97">
        <v>0</v>
      </c>
      <c r="G55" s="91"/>
    </row>
    <row r="56" spans="1:8" x14ac:dyDescent="0.25">
      <c r="A56" s="3">
        <v>2024</v>
      </c>
      <c r="B56" s="97">
        <f t="shared" ref="B56:B69" si="16">B55+(C56/$H$53)</f>
        <v>0.15062610521029504</v>
      </c>
      <c r="C56" s="97">
        <f>'SHEET 1'!M34</f>
        <v>7.3576511999999994</v>
      </c>
      <c r="D56" s="3">
        <v>0</v>
      </c>
      <c r="E56" s="9">
        <f>E55+(E55*'SHEET 1'!$B$8)</f>
        <v>618.13499999999999</v>
      </c>
      <c r="F56" s="97">
        <v>0</v>
      </c>
      <c r="G56" s="91"/>
    </row>
    <row r="57" spans="1:8" x14ac:dyDescent="0.25">
      <c r="A57" s="3">
        <v>2025</v>
      </c>
      <c r="B57" s="97">
        <f t="shared" si="16"/>
        <v>0.22238373612554929</v>
      </c>
      <c r="C57" s="97">
        <f>'SHEET 1'!M35</f>
        <v>8.7930696960000034</v>
      </c>
      <c r="D57" s="3">
        <v>0</v>
      </c>
      <c r="E57" s="9">
        <f>E56+(E56*'SHEET 1'!$B$8)</f>
        <v>627.40702499999998</v>
      </c>
      <c r="F57" s="97">
        <v>0</v>
      </c>
      <c r="G57" s="91"/>
    </row>
    <row r="58" spans="1:8" x14ac:dyDescent="0.25">
      <c r="A58" s="3">
        <v>2026</v>
      </c>
      <c r="B58" s="97">
        <f t="shared" si="16"/>
        <v>0.30748356666656623</v>
      </c>
      <c r="C58" s="97">
        <f>'SHEET 1'!M36</f>
        <v>10.42800231168</v>
      </c>
      <c r="D58" s="3">
        <v>0</v>
      </c>
      <c r="E58" s="9">
        <f>E57+(E57*'SHEET 1'!$B$8)</f>
        <v>636.81813037500001</v>
      </c>
      <c r="F58" s="97">
        <v>0</v>
      </c>
      <c r="G58" s="91"/>
    </row>
    <row r="59" spans="1:8" x14ac:dyDescent="0.25">
      <c r="A59" s="3">
        <v>2027</v>
      </c>
      <c r="B59" s="97">
        <f t="shared" si="16"/>
        <v>0.40775313171866118</v>
      </c>
      <c r="C59" s="97">
        <f>'SHEET 1'!M37</f>
        <v>12.286878240614403</v>
      </c>
      <c r="D59" s="3">
        <v>0</v>
      </c>
      <c r="E59" s="9">
        <f>E58+(E58*'SHEET 1'!$B$8)</f>
        <v>646.37040233062498</v>
      </c>
      <c r="F59" s="97">
        <v>0</v>
      </c>
      <c r="G59" s="91"/>
    </row>
    <row r="60" spans="1:8" x14ac:dyDescent="0.25">
      <c r="A60" s="3">
        <v>2028</v>
      </c>
      <c r="B60" s="97">
        <f t="shared" si="16"/>
        <v>0.52524218484950003</v>
      </c>
      <c r="C60" s="97">
        <f>'SHEET 1'!M38</f>
        <v>14.396927818263556</v>
      </c>
      <c r="D60" s="3">
        <v>0</v>
      </c>
      <c r="E60" s="9">
        <f>E59+(E59*'SHEET 1'!$B$8)</f>
        <v>656.06595836558438</v>
      </c>
      <c r="F60" s="97">
        <v>0</v>
      </c>
      <c r="G60" s="91"/>
    </row>
    <row r="61" spans="1:8" x14ac:dyDescent="0.25">
      <c r="A61" s="3">
        <v>2029</v>
      </c>
      <c r="B61" s="97">
        <f t="shared" si="16"/>
        <v>0.66224807739283975</v>
      </c>
      <c r="C61" s="97">
        <f>'SHEET 1'!M39</f>
        <v>16.788491293964633</v>
      </c>
      <c r="D61" s="3">
        <v>0</v>
      </c>
      <c r="E61" s="9">
        <f>E60+(E60*'SHEET 1'!$B$8)</f>
        <v>665.90694774106817</v>
      </c>
      <c r="F61" s="97">
        <v>0</v>
      </c>
      <c r="G61" s="91"/>
    </row>
    <row r="62" spans="1:8" x14ac:dyDescent="0.25">
      <c r="A62" s="86">
        <v>2030</v>
      </c>
      <c r="B62" s="97">
        <f t="shared" si="16"/>
        <v>0.82134392801788403</v>
      </c>
      <c r="C62" s="97">
        <f>'SHEET 1'!M40</f>
        <v>19.495360772745812</v>
      </c>
      <c r="D62" s="88">
        <v>1</v>
      </c>
      <c r="E62" s="89">
        <f>E61+(E61*'SHEET 1'!$B$8)</f>
        <v>675.89555195718424</v>
      </c>
      <c r="F62" s="98">
        <f>E62</f>
        <v>675.89555195718424</v>
      </c>
      <c r="G62" s="92"/>
    </row>
    <row r="63" spans="1:8" x14ac:dyDescent="0.25">
      <c r="A63" s="3">
        <v>2031</v>
      </c>
      <c r="B63" s="97">
        <f t="shared" si="16"/>
        <v>1.005409882038993</v>
      </c>
      <c r="C63" s="97">
        <f>'SHEET 1'!M41</f>
        <v>22.555158827355882</v>
      </c>
      <c r="D63" s="3">
        <v>0</v>
      </c>
      <c r="E63" s="9">
        <f>E62+(E62*'SHEET 1'!$B$8)</f>
        <v>686.03398523654198</v>
      </c>
      <c r="F63" s="97">
        <v>0</v>
      </c>
      <c r="G63" s="91"/>
    </row>
    <row r="64" spans="1:8" x14ac:dyDescent="0.25">
      <c r="A64" s="3">
        <v>2032</v>
      </c>
      <c r="B64" s="97">
        <f t="shared" si="16"/>
        <v>1.2176677912624576</v>
      </c>
      <c r="C64" s="97">
        <f>'SHEET 1'!M42</f>
        <v>26.009757645613796</v>
      </c>
      <c r="D64" s="3">
        <v>0</v>
      </c>
      <c r="E64" s="9">
        <f>E63+(E63*'SHEET 1'!$B$8)</f>
        <v>696.32449501509006</v>
      </c>
      <c r="F64" s="97">
        <v>0</v>
      </c>
      <c r="G64" s="91"/>
    </row>
    <row r="65" spans="1:8" x14ac:dyDescent="0.25">
      <c r="A65" s="110">
        <v>2033</v>
      </c>
      <c r="B65" s="97">
        <f t="shared" si="16"/>
        <v>1.4546723416461314</v>
      </c>
      <c r="C65" s="150">
        <f t="shared" ref="C65:C69" si="17">H6</f>
        <v>29.042172981630181</v>
      </c>
      <c r="D65" s="3">
        <v>0</v>
      </c>
      <c r="E65" s="9">
        <f>E64+(E64*$B$1)</f>
        <v>706.7693624403164</v>
      </c>
      <c r="F65" s="3"/>
    </row>
    <row r="66" spans="1:8" x14ac:dyDescent="0.25">
      <c r="A66" s="86">
        <v>2034</v>
      </c>
      <c r="B66" s="87">
        <f t="shared" si="16"/>
        <v>1.7269319375061061</v>
      </c>
      <c r="C66" s="87">
        <f t="shared" si="17"/>
        <v>33.36227201576461</v>
      </c>
      <c r="D66" s="86">
        <v>1</v>
      </c>
      <c r="E66" s="87">
        <f t="shared" ref="E66:E69" si="18">E65+(E65*$B$1)</f>
        <v>717.37090287692115</v>
      </c>
      <c r="F66" s="87">
        <f>E66</f>
        <v>717.37090287692115</v>
      </c>
    </row>
    <row r="67" spans="1:8" x14ac:dyDescent="0.25">
      <c r="A67" s="110">
        <v>2035</v>
      </c>
      <c r="B67" s="97">
        <f t="shared" si="16"/>
        <v>2.0388964506250469</v>
      </c>
      <c r="C67" s="150">
        <f t="shared" si="17"/>
        <v>38.227651492190205</v>
      </c>
      <c r="D67" s="3">
        <v>0</v>
      </c>
      <c r="E67" s="9">
        <f t="shared" si="18"/>
        <v>728.13146642007496</v>
      </c>
      <c r="F67" s="3"/>
    </row>
    <row r="68" spans="1:8" x14ac:dyDescent="0.25">
      <c r="A68" s="110">
        <v>2036</v>
      </c>
      <c r="B68" s="97">
        <f t="shared" si="16"/>
        <v>2.3955346893426874</v>
      </c>
      <c r="C68" s="150">
        <f t="shared" si="17"/>
        <v>43.701901098246282</v>
      </c>
      <c r="D68" s="3">
        <v>0</v>
      </c>
      <c r="E68" s="9">
        <f t="shared" si="18"/>
        <v>739.05343841637614</v>
      </c>
      <c r="F68" s="3"/>
    </row>
    <row r="69" spans="1:8" x14ac:dyDescent="0.25">
      <c r="A69" s="110">
        <v>2037</v>
      </c>
      <c r="B69" s="97">
        <f t="shared" si="16"/>
        <v>2.8023922081618426</v>
      </c>
      <c r="C69" s="150">
        <f t="shared" si="17"/>
        <v>49.855694421454942</v>
      </c>
      <c r="D69" s="3">
        <v>0</v>
      </c>
      <c r="E69" s="9">
        <f t="shared" si="18"/>
        <v>750.13923999262181</v>
      </c>
      <c r="F69" s="3"/>
    </row>
    <row r="71" spans="1:8" x14ac:dyDescent="0.25">
      <c r="A71" s="149" t="s">
        <v>71</v>
      </c>
      <c r="B71" s="149"/>
      <c r="D71" s="108" t="s">
        <v>72</v>
      </c>
      <c r="G71" t="s">
        <v>95</v>
      </c>
    </row>
    <row r="73" spans="1:8" x14ac:dyDescent="0.25">
      <c r="A73" s="3" t="s">
        <v>11</v>
      </c>
      <c r="B73" s="96" t="s">
        <v>10</v>
      </c>
      <c r="D73" s="3" t="s">
        <v>9</v>
      </c>
      <c r="E73" s="96" t="s">
        <v>10</v>
      </c>
      <c r="G73" s="3" t="s">
        <v>9</v>
      </c>
      <c r="H73" s="96" t="s">
        <v>10</v>
      </c>
    </row>
    <row r="74" spans="1:8" x14ac:dyDescent="0.25">
      <c r="A74" s="3">
        <v>2022</v>
      </c>
      <c r="B74" s="97">
        <f>(1000-2)/15</f>
        <v>66.533333333333331</v>
      </c>
      <c r="D74" s="3">
        <v>2022</v>
      </c>
      <c r="E74" s="150">
        <f>$F$54/8</f>
        <v>75</v>
      </c>
      <c r="G74" s="3">
        <v>2022</v>
      </c>
      <c r="H74" s="150">
        <f>B74+E74</f>
        <v>141.53333333333333</v>
      </c>
    </row>
    <row r="75" spans="1:8" x14ac:dyDescent="0.25">
      <c r="A75" s="3">
        <v>2023</v>
      </c>
      <c r="B75" s="97">
        <f t="shared" ref="B75:B89" si="19">(1000-2)/15</f>
        <v>66.533333333333331</v>
      </c>
      <c r="D75" s="3">
        <v>2023</v>
      </c>
      <c r="E75" s="150">
        <f t="shared" ref="E75:E81" si="20">$F$54/8</f>
        <v>75</v>
      </c>
      <c r="G75" s="3">
        <v>2023</v>
      </c>
      <c r="H75" s="150">
        <f t="shared" ref="H75:H89" si="21">B75+E75</f>
        <v>141.53333333333333</v>
      </c>
    </row>
    <row r="76" spans="1:8" x14ac:dyDescent="0.25">
      <c r="A76" s="3">
        <v>2024</v>
      </c>
      <c r="B76" s="97">
        <f t="shared" si="19"/>
        <v>66.533333333333331</v>
      </c>
      <c r="D76" s="3">
        <v>2024</v>
      </c>
      <c r="E76" s="150">
        <f t="shared" si="20"/>
        <v>75</v>
      </c>
      <c r="G76" s="3">
        <v>2024</v>
      </c>
      <c r="H76" s="150">
        <f t="shared" si="21"/>
        <v>141.53333333333333</v>
      </c>
    </row>
    <row r="77" spans="1:8" x14ac:dyDescent="0.25">
      <c r="A77" s="3">
        <v>2025</v>
      </c>
      <c r="B77" s="97">
        <f t="shared" si="19"/>
        <v>66.533333333333331</v>
      </c>
      <c r="D77" s="3">
        <v>2025</v>
      </c>
      <c r="E77" s="150">
        <f t="shared" si="20"/>
        <v>75</v>
      </c>
      <c r="G77" s="3">
        <v>2025</v>
      </c>
      <c r="H77" s="150">
        <f t="shared" si="21"/>
        <v>141.53333333333333</v>
      </c>
    </row>
    <row r="78" spans="1:8" x14ac:dyDescent="0.25">
      <c r="A78" s="3">
        <v>2026</v>
      </c>
      <c r="B78" s="97">
        <f t="shared" si="19"/>
        <v>66.533333333333331</v>
      </c>
      <c r="D78" s="3">
        <v>2026</v>
      </c>
      <c r="E78" s="150">
        <f t="shared" si="20"/>
        <v>75</v>
      </c>
      <c r="G78" s="3">
        <v>2026</v>
      </c>
      <c r="H78" s="150">
        <f t="shared" si="21"/>
        <v>141.53333333333333</v>
      </c>
    </row>
    <row r="79" spans="1:8" x14ac:dyDescent="0.25">
      <c r="A79" s="3">
        <v>2027</v>
      </c>
      <c r="B79" s="97">
        <f t="shared" si="19"/>
        <v>66.533333333333331</v>
      </c>
      <c r="D79" s="3">
        <v>2027</v>
      </c>
      <c r="E79" s="150">
        <f t="shared" si="20"/>
        <v>75</v>
      </c>
      <c r="G79" s="3">
        <v>2027</v>
      </c>
      <c r="H79" s="150">
        <f t="shared" si="21"/>
        <v>141.53333333333333</v>
      </c>
    </row>
    <row r="80" spans="1:8" x14ac:dyDescent="0.25">
      <c r="A80" s="3">
        <v>2028</v>
      </c>
      <c r="B80" s="97">
        <f t="shared" si="19"/>
        <v>66.533333333333331</v>
      </c>
      <c r="D80" s="3">
        <v>2028</v>
      </c>
      <c r="E80" s="150">
        <f t="shared" si="20"/>
        <v>75</v>
      </c>
      <c r="G80" s="3">
        <v>2028</v>
      </c>
      <c r="H80" s="150">
        <f t="shared" si="21"/>
        <v>141.53333333333333</v>
      </c>
    </row>
    <row r="81" spans="1:8" x14ac:dyDescent="0.25">
      <c r="A81" s="3">
        <v>2029</v>
      </c>
      <c r="B81" s="97">
        <f t="shared" si="19"/>
        <v>66.533333333333331</v>
      </c>
      <c r="D81" s="3">
        <v>2029</v>
      </c>
      <c r="E81" s="150">
        <f t="shared" si="20"/>
        <v>75</v>
      </c>
      <c r="G81" s="3">
        <v>2029</v>
      </c>
      <c r="H81" s="150">
        <f t="shared" si="21"/>
        <v>141.53333333333333</v>
      </c>
    </row>
    <row r="82" spans="1:8" x14ac:dyDescent="0.25">
      <c r="A82" s="3">
        <v>2030</v>
      </c>
      <c r="B82" s="97">
        <f t="shared" si="19"/>
        <v>66.533333333333331</v>
      </c>
      <c r="D82" s="3">
        <v>2030</v>
      </c>
      <c r="E82" s="150">
        <f>$E$62/4</f>
        <v>168.97388798929606</v>
      </c>
      <c r="G82" s="3">
        <v>2030</v>
      </c>
      <c r="H82" s="150">
        <f t="shared" si="21"/>
        <v>235.50722132262939</v>
      </c>
    </row>
    <row r="83" spans="1:8" x14ac:dyDescent="0.25">
      <c r="A83" s="3">
        <v>2031</v>
      </c>
      <c r="B83" s="97">
        <f t="shared" si="19"/>
        <v>66.533333333333331</v>
      </c>
      <c r="D83" s="3">
        <v>2031</v>
      </c>
      <c r="E83" s="150">
        <f t="shared" ref="E83:E85" si="22">$E$62/4</f>
        <v>168.97388798929606</v>
      </c>
      <c r="G83" s="3">
        <v>2031</v>
      </c>
      <c r="H83" s="150">
        <f t="shared" si="21"/>
        <v>235.50722132262939</v>
      </c>
    </row>
    <row r="84" spans="1:8" x14ac:dyDescent="0.25">
      <c r="A84" s="3">
        <v>2032</v>
      </c>
      <c r="B84" s="97">
        <f t="shared" si="19"/>
        <v>66.533333333333331</v>
      </c>
      <c r="D84" s="3">
        <v>2032</v>
      </c>
      <c r="E84" s="150">
        <f t="shared" si="22"/>
        <v>168.97388798929606</v>
      </c>
      <c r="G84" s="3">
        <v>2032</v>
      </c>
      <c r="H84" s="150">
        <f t="shared" si="21"/>
        <v>235.50722132262939</v>
      </c>
    </row>
    <row r="85" spans="1:8" x14ac:dyDescent="0.25">
      <c r="A85" s="110">
        <v>2033</v>
      </c>
      <c r="B85" s="97">
        <f t="shared" si="19"/>
        <v>66.533333333333331</v>
      </c>
      <c r="D85" s="110">
        <v>2033</v>
      </c>
      <c r="E85" s="150">
        <f t="shared" si="22"/>
        <v>168.97388798929606</v>
      </c>
      <c r="G85" s="110">
        <v>2033</v>
      </c>
      <c r="H85" s="150">
        <f t="shared" si="21"/>
        <v>235.50722132262939</v>
      </c>
    </row>
    <row r="86" spans="1:8" x14ac:dyDescent="0.25">
      <c r="A86" s="110">
        <v>2034</v>
      </c>
      <c r="B86" s="97">
        <f t="shared" si="19"/>
        <v>66.533333333333331</v>
      </c>
      <c r="D86" s="110">
        <v>2034</v>
      </c>
      <c r="E86" s="150">
        <f>$E$66/4</f>
        <v>179.34272571923029</v>
      </c>
      <c r="G86" s="110">
        <v>2034</v>
      </c>
      <c r="H86" s="150">
        <f t="shared" si="21"/>
        <v>245.87605905256362</v>
      </c>
    </row>
    <row r="87" spans="1:8" x14ac:dyDescent="0.25">
      <c r="A87" s="110">
        <v>2035</v>
      </c>
      <c r="B87" s="97">
        <f t="shared" si="19"/>
        <v>66.533333333333331</v>
      </c>
      <c r="D87" s="110">
        <v>2035</v>
      </c>
      <c r="E87" s="150">
        <f t="shared" ref="E87:E89" si="23">$E$66/4</f>
        <v>179.34272571923029</v>
      </c>
      <c r="G87" s="110">
        <v>2035</v>
      </c>
      <c r="H87" s="150">
        <f t="shared" si="21"/>
        <v>245.87605905256362</v>
      </c>
    </row>
    <row r="88" spans="1:8" x14ac:dyDescent="0.25">
      <c r="A88" s="110">
        <v>2036</v>
      </c>
      <c r="B88" s="97">
        <f t="shared" si="19"/>
        <v>66.533333333333331</v>
      </c>
      <c r="D88" s="110">
        <v>2036</v>
      </c>
      <c r="E88" s="150">
        <f t="shared" si="23"/>
        <v>179.34272571923029</v>
      </c>
      <c r="G88" s="110">
        <v>2036</v>
      </c>
      <c r="H88" s="150">
        <f t="shared" si="21"/>
        <v>245.87605905256362</v>
      </c>
    </row>
    <row r="89" spans="1:8" x14ac:dyDescent="0.25">
      <c r="A89" s="110">
        <v>2037</v>
      </c>
      <c r="B89" s="97">
        <f t="shared" si="19"/>
        <v>66.533333333333331</v>
      </c>
      <c r="D89" s="110">
        <v>2037</v>
      </c>
      <c r="E89" s="150">
        <f t="shared" si="23"/>
        <v>179.34272571923029</v>
      </c>
      <c r="G89" s="110">
        <v>2037</v>
      </c>
      <c r="H89" s="150">
        <f t="shared" si="21"/>
        <v>245.87605905256362</v>
      </c>
    </row>
    <row r="91" spans="1:8" x14ac:dyDescent="0.25">
      <c r="A91" s="159" t="s">
        <v>43</v>
      </c>
      <c r="B91" s="159"/>
    </row>
    <row r="93" spans="1:8" x14ac:dyDescent="0.25">
      <c r="A93" s="3" t="s">
        <v>9</v>
      </c>
      <c r="B93" s="96" t="s">
        <v>10</v>
      </c>
    </row>
    <row r="94" spans="1:8" x14ac:dyDescent="0.25">
      <c r="A94" s="110">
        <v>2033</v>
      </c>
      <c r="B94" s="150">
        <f>'Negative Cashflows'!C59+('Negative Cashflows'!C59*0.1)</f>
        <v>207.49939680799997</v>
      </c>
    </row>
    <row r="95" spans="1:8" x14ac:dyDescent="0.25">
      <c r="A95" s="110">
        <v>2034</v>
      </c>
      <c r="B95" s="150">
        <f>B94+(B94*0.1)</f>
        <v>228.24933648879997</v>
      </c>
    </row>
    <row r="96" spans="1:8" x14ac:dyDescent="0.25">
      <c r="A96" s="110">
        <v>2035</v>
      </c>
      <c r="B96" s="150">
        <f t="shared" ref="B96:B98" si="24">B95+(B95*0.1)</f>
        <v>251.07427013767997</v>
      </c>
    </row>
    <row r="97" spans="1:2" x14ac:dyDescent="0.25">
      <c r="A97" s="110">
        <v>2036</v>
      </c>
      <c r="B97" s="150">
        <f t="shared" si="24"/>
        <v>276.18169715144796</v>
      </c>
    </row>
    <row r="98" spans="1:2" x14ac:dyDescent="0.25">
      <c r="A98" s="110">
        <v>2037</v>
      </c>
      <c r="B98" s="150">
        <f t="shared" si="24"/>
        <v>303.79986686659277</v>
      </c>
    </row>
  </sheetData>
  <mergeCells count="17">
    <mergeCell ref="A3:B3"/>
    <mergeCell ref="B4:C4"/>
    <mergeCell ref="D4:E4"/>
    <mergeCell ref="F4:H4"/>
    <mergeCell ref="D22:E22"/>
    <mergeCell ref="A31:B31"/>
    <mergeCell ref="A40:B40"/>
    <mergeCell ref="I13:J13"/>
    <mergeCell ref="A22:B22"/>
    <mergeCell ref="A13:B13"/>
    <mergeCell ref="A14:C14"/>
    <mergeCell ref="D13:E13"/>
    <mergeCell ref="D50:H50"/>
    <mergeCell ref="A91:B91"/>
    <mergeCell ref="B42:C42"/>
    <mergeCell ref="A50:C50"/>
    <mergeCell ref="A23:C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D3A42-A990-4131-B2BB-FE2A9C18584B}">
  <dimension ref="A1:Q32"/>
  <sheetViews>
    <sheetView workbookViewId="0">
      <selection activeCell="A27" sqref="A27"/>
    </sheetView>
  </sheetViews>
  <sheetFormatPr defaultRowHeight="15" x14ac:dyDescent="0.25"/>
  <cols>
    <col min="1" max="1" width="28.7109375" customWidth="1"/>
  </cols>
  <sheetData>
    <row r="1" spans="1:17" x14ac:dyDescent="0.25">
      <c r="A1" t="s">
        <v>64</v>
      </c>
      <c r="B1" t="s">
        <v>9</v>
      </c>
    </row>
    <row r="2" spans="1:17" x14ac:dyDescent="0.25">
      <c r="B2" s="143">
        <v>2022</v>
      </c>
      <c r="C2" s="143">
        <v>2023</v>
      </c>
      <c r="D2" s="143">
        <v>2024</v>
      </c>
      <c r="E2" s="143">
        <v>2025</v>
      </c>
      <c r="F2" s="143">
        <v>2026</v>
      </c>
      <c r="G2" s="143">
        <v>2027</v>
      </c>
      <c r="H2" s="143">
        <v>2028</v>
      </c>
      <c r="I2" s="143">
        <v>2029</v>
      </c>
      <c r="J2" s="143">
        <v>2030</v>
      </c>
      <c r="K2" s="143">
        <v>2031</v>
      </c>
      <c r="L2" s="143">
        <v>2032</v>
      </c>
      <c r="M2" s="143">
        <v>2033</v>
      </c>
      <c r="N2" s="143">
        <v>2034</v>
      </c>
      <c r="O2" s="143">
        <v>2035</v>
      </c>
      <c r="P2" s="143">
        <v>2036</v>
      </c>
      <c r="Q2" s="143">
        <v>2037</v>
      </c>
    </row>
    <row r="3" spans="1:17" x14ac:dyDescent="0.25">
      <c r="A3" t="s">
        <v>103</v>
      </c>
      <c r="B3" s="101">
        <f>'SHEET 1'!G62</f>
        <v>250</v>
      </c>
      <c r="C3" s="101">
        <f>(('SHEET 1'!G63)+(B3*1.5%))</f>
        <v>348.83375999999998</v>
      </c>
      <c r="D3" s="101">
        <f>('SHEET 1'!G64)+(C3*1.5%)</f>
        <v>462.82251715199919</v>
      </c>
      <c r="E3" s="101">
        <f>(('SHEET 1'!G65)+(D3*1.5%))</f>
        <v>597.10122157278306</v>
      </c>
      <c r="F3" s="101">
        <f>(('SHEET 1'!G66)+(E3*1.5%))</f>
        <v>754.75332597570184</v>
      </c>
      <c r="G3" s="101">
        <f>(('SHEET 1'!G67)+(F3*1.5%))</f>
        <v>939.24613011981671</v>
      </c>
      <c r="H3" s="101">
        <f>(('SHEET 1'!G68)+(G3*1.5%))</f>
        <v>1154.5218066000045</v>
      </c>
      <c r="I3" s="101">
        <f>(('SHEET 1'!G69)+(H3*1.5%))</f>
        <v>1405.0602063111064</v>
      </c>
      <c r="J3" s="101">
        <f>(('SHEET 1'!G70)+(I3*1.5%))</f>
        <v>1695.9490513976198</v>
      </c>
      <c r="K3" s="101">
        <f>(('SHEET 1'!G71)+(J3*1.5%))</f>
        <v>2032.9630225838432</v>
      </c>
      <c r="L3" s="101">
        <f>(('SHEET 1'!G72)+(K3*1.5%))</f>
        <v>2422.6528556376466</v>
      </c>
      <c r="M3">
        <f>'Q3 Working'!E25+(0.015*' Question 3 Answer Part 1'!L3)</f>
        <v>2821.5836215696936</v>
      </c>
      <c r="N3">
        <f>'Q3 Working'!E26+(0.015*' Question 3 Answer Part 1'!M3)</f>
        <v>3334.2401321109191</v>
      </c>
      <c r="O3">
        <f>'Q3 Working'!E27+(0.015*' Question 3 Answer Part 1'!N3)</f>
        <v>3925.1567168429115</v>
      </c>
      <c r="P3">
        <f>'Q3 Working'!E28+(0.015*' Question 3 Answer Part 1'!O3)</f>
        <v>4604.4060352426022</v>
      </c>
      <c r="Q3">
        <f>'Q3 Working'!E29+(0.015*' Question 3 Answer Part 1'!P3)</f>
        <v>5384.1414638761498</v>
      </c>
    </row>
    <row r="4" spans="1:17" x14ac:dyDescent="0.25">
      <c r="A4" t="s">
        <v>69</v>
      </c>
      <c r="B4" s="101">
        <f>'Positive Cashflows'!C9</f>
        <v>30</v>
      </c>
      <c r="C4" s="101">
        <f>'Positive Cashflows'!C10</f>
        <v>30.9</v>
      </c>
      <c r="D4" s="101">
        <f>'Positive Cashflows'!C11</f>
        <v>31.826999999999998</v>
      </c>
      <c r="E4" s="101">
        <f>'Positive Cashflows'!C12</f>
        <v>32.78181</v>
      </c>
      <c r="F4" s="101">
        <f>'Positive Cashflows'!C13</f>
        <v>33.765264299999998</v>
      </c>
      <c r="G4" s="101">
        <f>'Positive Cashflows'!C14</f>
        <v>34.778222229000001</v>
      </c>
      <c r="H4" s="101">
        <f>'Positive Cashflows'!C15</f>
        <v>35.821568895870001</v>
      </c>
      <c r="I4" s="101">
        <f>'Positive Cashflows'!C16</f>
        <v>36.896215962746098</v>
      </c>
      <c r="J4" s="101">
        <f>'Positive Cashflows'!C17</f>
        <v>38.003102441628478</v>
      </c>
      <c r="K4" s="101">
        <f>'Positive Cashflows'!C18</f>
        <v>39.143195514877334</v>
      </c>
      <c r="L4" s="101">
        <f>'Positive Cashflows'!C19</f>
        <v>40.317491380323652</v>
      </c>
      <c r="M4" s="101">
        <f>'Q3 Working'!B34</f>
        <v>41.527016121733361</v>
      </c>
      <c r="N4" s="101">
        <f>'Q3 Working'!B35</f>
        <v>42.772826605385362</v>
      </c>
      <c r="O4" s="101">
        <f>'Q3 Working'!B36</f>
        <v>44.056011403546925</v>
      </c>
      <c r="P4" s="101">
        <f>'Q3 Working'!B37</f>
        <v>45.37769174565333</v>
      </c>
      <c r="Q4" s="101">
        <f>'Q3 Working'!B38</f>
        <v>46.739022498022926</v>
      </c>
    </row>
    <row r="5" spans="1:17" x14ac:dyDescent="0.25">
      <c r="A5" s="114" t="s">
        <v>70</v>
      </c>
      <c r="B5" s="115">
        <f>B3+B4</f>
        <v>280</v>
      </c>
      <c r="C5" s="115">
        <f t="shared" ref="C5:J5" si="0">C3+C4</f>
        <v>379.73375999999996</v>
      </c>
      <c r="D5" s="115">
        <f t="shared" si="0"/>
        <v>494.64951715199919</v>
      </c>
      <c r="E5" s="115">
        <f t="shared" si="0"/>
        <v>629.88303157278301</v>
      </c>
      <c r="F5" s="115">
        <f t="shared" si="0"/>
        <v>788.51859027570185</v>
      </c>
      <c r="G5" s="115">
        <f t="shared" si="0"/>
        <v>974.02435234881671</v>
      </c>
      <c r="H5" s="115">
        <f t="shared" si="0"/>
        <v>1190.3433754958746</v>
      </c>
      <c r="I5" s="115">
        <f t="shared" si="0"/>
        <v>1441.9564222738525</v>
      </c>
      <c r="J5" s="115">
        <f t="shared" si="0"/>
        <v>1733.9521538392482</v>
      </c>
      <c r="K5" s="115">
        <f>K3+K4</f>
        <v>2072.1062180987205</v>
      </c>
      <c r="L5" s="115">
        <f t="shared" ref="L5" si="1">L3+L4</f>
        <v>2462.9703470179702</v>
      </c>
      <c r="M5" s="115">
        <f>M3+M4</f>
        <v>2863.1106376914267</v>
      </c>
      <c r="N5" s="115">
        <f t="shared" ref="N5" si="2">N3+N4</f>
        <v>3377.0129587163046</v>
      </c>
      <c r="O5" s="115">
        <f t="shared" ref="O5" si="3">O3+O4</f>
        <v>3969.2127282464585</v>
      </c>
      <c r="P5" s="115">
        <f t="shared" ref="P5" si="4">P3+P4</f>
        <v>4649.7837269882557</v>
      </c>
      <c r="Q5" s="115">
        <f t="shared" ref="Q5" si="5">Q3+Q4</f>
        <v>5430.8804863741725</v>
      </c>
    </row>
    <row r="6" spans="1:17" x14ac:dyDescent="0.25"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</row>
    <row r="7" spans="1:17" x14ac:dyDescent="0.25">
      <c r="A7" t="s">
        <v>63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17" x14ac:dyDescent="0.25">
      <c r="A8" t="s">
        <v>62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7" x14ac:dyDescent="0.25">
      <c r="A9" t="s">
        <v>68</v>
      </c>
      <c r="B9" s="101">
        <f>'Negative Cashflows'!E66</f>
        <v>75</v>
      </c>
      <c r="C9" s="101">
        <f>'Negative Cashflows'!E67</f>
        <v>78.75</v>
      </c>
      <c r="D9" s="101">
        <f>'Negative Cashflows'!E68</f>
        <v>82.6875</v>
      </c>
      <c r="E9" s="101">
        <f>'Negative Cashflows'!E69</f>
        <v>86.821874999999977</v>
      </c>
      <c r="F9" s="101">
        <f>'Negative Cashflows'!E70</f>
        <v>91.162968750000005</v>
      </c>
      <c r="G9" s="101">
        <f>'Negative Cashflows'!E71</f>
        <v>95.721117187499999</v>
      </c>
      <c r="H9" s="101">
        <f>'Negative Cashflows'!E72</f>
        <v>100.50717304687498</v>
      </c>
      <c r="I9" s="101">
        <f>'Negative Cashflows'!E73</f>
        <v>105.53253169921868</v>
      </c>
      <c r="J9" s="101">
        <f>'Negative Cashflows'!E74</f>
        <v>110.80915828417972</v>
      </c>
      <c r="K9" s="101">
        <f>'Negative Cashflows'!E75</f>
        <v>116.34961619838862</v>
      </c>
      <c r="L9" s="101">
        <f>'Negative Cashflows'!E76</f>
        <v>122.16709700830813</v>
      </c>
      <c r="M9" s="101">
        <f>'Q3 Working'!D44</f>
        <v>221.93689289842632</v>
      </c>
      <c r="N9" s="101">
        <f>'Q3 Working'!D45</f>
        <v>340.744394739006</v>
      </c>
      <c r="O9" s="101">
        <f>'Q3 Working'!D46</f>
        <v>481.64887025096334</v>
      </c>
      <c r="P9" s="101">
        <f>'Q3 Working'!D47</f>
        <v>648.17865790476947</v>
      </c>
      <c r="Q9" s="101">
        <f>'Q3 Working'!D48</f>
        <v>844.40203656245467</v>
      </c>
    </row>
    <row r="10" spans="1:17" x14ac:dyDescent="0.25">
      <c r="A10" t="s">
        <v>74</v>
      </c>
      <c r="B10" s="101">
        <f>'Q3 Working'!H74</f>
        <v>141.53333333333333</v>
      </c>
      <c r="C10" s="101">
        <f>'Q3 Working'!H75</f>
        <v>141.53333333333333</v>
      </c>
      <c r="D10" s="101">
        <f>'Q3 Working'!H76</f>
        <v>141.53333333333333</v>
      </c>
      <c r="E10" s="101">
        <f>'Q3 Working'!H77</f>
        <v>141.53333333333333</v>
      </c>
      <c r="F10" s="101">
        <f>'Q3 Working'!H78</f>
        <v>141.53333333333333</v>
      </c>
      <c r="G10" s="101">
        <f>'Q3 Working'!H79</f>
        <v>141.53333333333333</v>
      </c>
      <c r="H10" s="101">
        <f>'Q3 Working'!H80</f>
        <v>141.53333333333333</v>
      </c>
      <c r="I10" s="101">
        <f>'Q3 Working'!H81</f>
        <v>141.53333333333333</v>
      </c>
      <c r="J10" s="101">
        <f>'Q3 Working'!H82</f>
        <v>235.50722132262939</v>
      </c>
      <c r="K10" s="101">
        <f>'Q3 Working'!H83</f>
        <v>235.50722132262939</v>
      </c>
      <c r="L10" s="101">
        <f>'Q3 Working'!H84</f>
        <v>235.50722132262939</v>
      </c>
      <c r="M10" s="101">
        <f>'Q3 Working'!H85</f>
        <v>235.50722132262939</v>
      </c>
      <c r="N10" s="101">
        <f>'Q3 Working'!H86</f>
        <v>245.87605905256362</v>
      </c>
      <c r="O10" s="101">
        <f>'Q3 Working'!H87</f>
        <v>245.87605905256362</v>
      </c>
      <c r="P10" s="101">
        <f>'Q3 Working'!H88</f>
        <v>245.87605905256362</v>
      </c>
      <c r="Q10" s="101">
        <f>'Q3 Working'!H89</f>
        <v>245.87605905256362</v>
      </c>
    </row>
    <row r="11" spans="1:17" s="101" customFormat="1" x14ac:dyDescent="0.25">
      <c r="A11" s="101" t="s">
        <v>61</v>
      </c>
      <c r="B11" s="101">
        <f>'SHEET 1'!C62</f>
        <v>108</v>
      </c>
      <c r="C11" s="101">
        <f>(('SHEET 1'!C63)+(0.15*'Question 1 Answer'!B11))</f>
        <v>168.68580480000008</v>
      </c>
      <c r="D11" s="101">
        <f>(('SHEET 1'!C64)+(1.5%*'Question 1 Answer'!C11))</f>
        <v>207.75363895295985</v>
      </c>
      <c r="E11" s="101">
        <f>(('SHEET 1'!C65)+(1.5%*'Question 1 Answer'!D11))</f>
        <v>270.58552565019988</v>
      </c>
      <c r="F11" s="101">
        <f>(('SHEET 1'!C66)+(1.5%*'Question 1 Answer'!E11))</f>
        <v>344.71356983970566</v>
      </c>
      <c r="G11" s="101">
        <f>(('SHEET 1'!C67)+(1.5%*'Question 1 Answer'!F11))</f>
        <v>431.58001845494431</v>
      </c>
      <c r="H11" s="101">
        <f>(('SHEET 1'!C68)+(1.5%*'Question 1 Answer'!G11))</f>
        <v>533.05971083820384</v>
      </c>
      <c r="I11" s="101">
        <f>(('SHEET 1'!C69)+(1.5%*'Question 1 Answer'!H11))</f>
        <v>651.28728792863353</v>
      </c>
      <c r="J11" s="101">
        <f>(('SHEET 1'!C70)+(1.5%*'Question 1 Answer'!I11))</f>
        <v>788.68771058209256</v>
      </c>
      <c r="K11" s="101">
        <f>(('SHEET 1'!C71)+(1.5%*'Question 1 Answer'!J11))</f>
        <v>948.01403111213824</v>
      </c>
      <c r="L11" s="101">
        <f>(('SHEET 1'!C72)+(1.5%*'Question 1 Answer'!K11))</f>
        <v>1132.3900002401206</v>
      </c>
      <c r="M11" s="101">
        <f>'Q3 Working'!E16+(L11*1.5%)</f>
        <v>1414.9373695516217</v>
      </c>
      <c r="N11" s="101">
        <f>'Q3 Working'!E17+(M11*1.5%)</f>
        <v>1668.249920781218</v>
      </c>
      <c r="O11" s="101">
        <f>'Q3 Working'!E18+(N11*1.5%)</f>
        <v>1958.4347999393017</v>
      </c>
      <c r="P11" s="101">
        <f>'Q3 Working'!E19+(O11*1.5%)</f>
        <v>2291.6281811950948</v>
      </c>
      <c r="Q11" s="101">
        <f>'Q3 Working'!E20+(P11*1.5%)</f>
        <v>2673.7427696452046</v>
      </c>
    </row>
    <row r="12" spans="1:17" x14ac:dyDescent="0.25">
      <c r="A12" t="s">
        <v>60</v>
      </c>
      <c r="B12" s="101">
        <f>'Negative Cashflows'!C49</f>
        <v>40</v>
      </c>
      <c r="C12" s="101">
        <f>'Negative Cashflows'!C50</f>
        <v>80</v>
      </c>
      <c r="D12" s="101">
        <f>'Negative Cashflows'!C51</f>
        <v>88</v>
      </c>
      <c r="E12" s="101">
        <f>'Negative Cashflows'!C52</f>
        <v>96.8</v>
      </c>
      <c r="F12" s="101">
        <f>'Negative Cashflows'!C53</f>
        <v>106.47999999999999</v>
      </c>
      <c r="G12" s="101">
        <f>'Negative Cashflows'!C54</f>
        <v>117.12799999999999</v>
      </c>
      <c r="H12" s="101">
        <f>'Negative Cashflows'!C55</f>
        <v>128.84079999999997</v>
      </c>
      <c r="I12" s="101">
        <f>'Negative Cashflows'!C56</f>
        <v>141.72487999999998</v>
      </c>
      <c r="J12" s="101">
        <f>'Negative Cashflows'!C57</f>
        <v>155.89736799999997</v>
      </c>
      <c r="K12" s="101">
        <f>'Negative Cashflows'!C58</f>
        <v>171.48710479999997</v>
      </c>
      <c r="L12" s="101">
        <f>'Negative Cashflows'!C59</f>
        <v>188.63581527999997</v>
      </c>
      <c r="M12" s="101">
        <f>'Q3 Working'!B94</f>
        <v>207.49939680799997</v>
      </c>
      <c r="N12" s="101">
        <f>'Q3 Working'!B95</f>
        <v>228.24933648879997</v>
      </c>
      <c r="O12" s="101">
        <f>'Q3 Working'!B96</f>
        <v>251.07427013767997</v>
      </c>
      <c r="P12" s="101">
        <f>'Q3 Working'!B97</f>
        <v>276.18169715144796</v>
      </c>
      <c r="Q12" s="101">
        <f>'Q3 Working'!B98</f>
        <v>303.79986686659277</v>
      </c>
    </row>
    <row r="13" spans="1:17" x14ac:dyDescent="0.25"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</row>
    <row r="14" spans="1:17" x14ac:dyDescent="0.25">
      <c r="A14" s="114" t="s">
        <v>51</v>
      </c>
      <c r="B14" s="115">
        <f t="shared" ref="B14:L14" si="6">SUM(B9:B13)</f>
        <v>364.5333333333333</v>
      </c>
      <c r="C14" s="115">
        <f t="shared" si="6"/>
        <v>468.96913813333344</v>
      </c>
      <c r="D14" s="115">
        <f t="shared" si="6"/>
        <v>519.97447228629312</v>
      </c>
      <c r="E14" s="115">
        <f t="shared" si="6"/>
        <v>595.74073398353312</v>
      </c>
      <c r="F14" s="115">
        <f t="shared" si="6"/>
        <v>683.88987192303898</v>
      </c>
      <c r="G14" s="115">
        <f t="shared" si="6"/>
        <v>785.96246897577771</v>
      </c>
      <c r="H14" s="115">
        <f t="shared" si="6"/>
        <v>903.94101721841207</v>
      </c>
      <c r="I14" s="115">
        <f t="shared" si="6"/>
        <v>1040.0780329611855</v>
      </c>
      <c r="J14" s="115">
        <f t="shared" si="6"/>
        <v>1290.9014581889016</v>
      </c>
      <c r="K14" s="115">
        <f t="shared" si="6"/>
        <v>1471.3579734331563</v>
      </c>
      <c r="L14" s="115">
        <f t="shared" si="6"/>
        <v>1678.7001338510581</v>
      </c>
      <c r="M14" s="115">
        <f t="shared" ref="M14:Q14" si="7">SUM(M9:M13)</f>
        <v>2079.8808805806775</v>
      </c>
      <c r="N14" s="115">
        <f t="shared" si="7"/>
        <v>2483.1197110615876</v>
      </c>
      <c r="O14" s="115">
        <f t="shared" si="7"/>
        <v>2937.0339993805087</v>
      </c>
      <c r="P14" s="115">
        <f t="shared" si="7"/>
        <v>3461.8645953038758</v>
      </c>
      <c r="Q14" s="115">
        <f t="shared" si="7"/>
        <v>4067.8207321268155</v>
      </c>
    </row>
    <row r="15" spans="1:17" x14ac:dyDescent="0.25"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</row>
    <row r="16" spans="1:17" x14ac:dyDescent="0.25">
      <c r="A16" t="s">
        <v>59</v>
      </c>
      <c r="B16" s="101">
        <f t="shared" ref="B16:L16" si="8">B5-B14</f>
        <v>-84.533333333333303</v>
      </c>
      <c r="C16" s="101">
        <f t="shared" si="8"/>
        <v>-89.235378133333484</v>
      </c>
      <c r="D16" s="101">
        <f t="shared" si="8"/>
        <v>-25.32495513429393</v>
      </c>
      <c r="E16" s="101">
        <f t="shared" si="8"/>
        <v>34.142297589249893</v>
      </c>
      <c r="F16" s="101">
        <f t="shared" si="8"/>
        <v>104.62871835266287</v>
      </c>
      <c r="G16" s="101">
        <f t="shared" si="8"/>
        <v>188.061883373039</v>
      </c>
      <c r="H16" s="101">
        <f t="shared" si="8"/>
        <v>286.40235827746255</v>
      </c>
      <c r="I16" s="101">
        <f t="shared" si="8"/>
        <v>401.87838931266697</v>
      </c>
      <c r="J16" s="101">
        <f t="shared" si="8"/>
        <v>443.0506956503466</v>
      </c>
      <c r="K16" s="101">
        <f t="shared" si="8"/>
        <v>600.74824466556424</v>
      </c>
      <c r="L16" s="101">
        <f t="shared" si="8"/>
        <v>784.27021316691207</v>
      </c>
      <c r="M16" s="101">
        <f t="shared" ref="M16:Q16" si="9">M5-M14</f>
        <v>783.22975711074923</v>
      </c>
      <c r="N16" s="101">
        <f t="shared" si="9"/>
        <v>893.89324765471702</v>
      </c>
      <c r="O16" s="101">
        <f t="shared" si="9"/>
        <v>1032.1787288659498</v>
      </c>
      <c r="P16" s="101">
        <f t="shared" si="9"/>
        <v>1187.9191316843799</v>
      </c>
      <c r="Q16" s="101">
        <f t="shared" si="9"/>
        <v>1363.059754247357</v>
      </c>
    </row>
    <row r="17" spans="1:17" x14ac:dyDescent="0.25">
      <c r="A17" t="s">
        <v>65</v>
      </c>
      <c r="B17" s="4">
        <v>0.1</v>
      </c>
      <c r="C17" s="4">
        <v>0.1</v>
      </c>
      <c r="D17" s="4">
        <v>0.1</v>
      </c>
      <c r="E17" s="4">
        <v>0.1</v>
      </c>
      <c r="F17" s="4">
        <v>0.1</v>
      </c>
      <c r="G17" s="4">
        <v>0.1</v>
      </c>
      <c r="H17" s="4">
        <v>0.1</v>
      </c>
      <c r="I17" s="4">
        <v>0.1</v>
      </c>
      <c r="J17" s="4">
        <v>0.1</v>
      </c>
      <c r="K17" s="4">
        <v>0.1</v>
      </c>
      <c r="L17" s="4">
        <v>0.1</v>
      </c>
      <c r="M17" s="4">
        <v>0.1</v>
      </c>
      <c r="N17" s="4">
        <v>0.1</v>
      </c>
      <c r="O17" s="4">
        <v>0.1</v>
      </c>
      <c r="P17" s="4">
        <v>0.1</v>
      </c>
      <c r="Q17" s="4">
        <v>0.1</v>
      </c>
    </row>
    <row r="18" spans="1:17" x14ac:dyDescent="0.25">
      <c r="A18" t="s">
        <v>66</v>
      </c>
      <c r="B18" s="101">
        <f t="shared" ref="B18:K18" si="10">IF(B5*B17&gt;B16,0,B5*B17)</f>
        <v>0</v>
      </c>
      <c r="C18" s="101">
        <f t="shared" si="10"/>
        <v>0</v>
      </c>
      <c r="D18" s="101">
        <f t="shared" si="10"/>
        <v>0</v>
      </c>
      <c r="E18" s="101">
        <f t="shared" si="10"/>
        <v>0</v>
      </c>
      <c r="F18" s="101">
        <f t="shared" si="10"/>
        <v>78.851859027570185</v>
      </c>
      <c r="G18" s="101">
        <f t="shared" si="10"/>
        <v>97.402435234881679</v>
      </c>
      <c r="H18" s="101">
        <f t="shared" si="10"/>
        <v>119.03433754958746</v>
      </c>
      <c r="I18" s="101">
        <f t="shared" si="10"/>
        <v>144.19564222738526</v>
      </c>
      <c r="J18" s="101">
        <f t="shared" si="10"/>
        <v>173.39521538392484</v>
      </c>
      <c r="K18" s="101">
        <f t="shared" si="10"/>
        <v>207.21062180987207</v>
      </c>
      <c r="L18" s="101">
        <f t="shared" ref="L18:Q18" si="11">IF(L5*L17&gt;L16,0,L5*L17)</f>
        <v>246.29703470179703</v>
      </c>
      <c r="M18" s="101">
        <f t="shared" si="11"/>
        <v>286.31106376914266</v>
      </c>
      <c r="N18" s="101">
        <f t="shared" si="11"/>
        <v>337.70129587163046</v>
      </c>
      <c r="O18" s="101">
        <f t="shared" si="11"/>
        <v>396.92127282464588</v>
      </c>
      <c r="P18" s="101">
        <f t="shared" si="11"/>
        <v>464.97837269882558</v>
      </c>
      <c r="Q18" s="101">
        <f t="shared" si="11"/>
        <v>543.08804863741727</v>
      </c>
    </row>
    <row r="19" spans="1:17" x14ac:dyDescent="0.25">
      <c r="A19" t="s">
        <v>67</v>
      </c>
      <c r="B19" s="101">
        <f>B16-B18</f>
        <v>-84.533333333333303</v>
      </c>
      <c r="C19" s="101">
        <f>C16-C18</f>
        <v>-89.235378133333484</v>
      </c>
      <c r="D19" s="101">
        <f t="shared" ref="D19:Q19" si="12">D16-D18</f>
        <v>-25.32495513429393</v>
      </c>
      <c r="E19" s="101">
        <f t="shared" si="12"/>
        <v>34.142297589249893</v>
      </c>
      <c r="F19" s="101">
        <f t="shared" si="12"/>
        <v>25.776859325092687</v>
      </c>
      <c r="G19" s="101">
        <f t="shared" si="12"/>
        <v>90.659448138157316</v>
      </c>
      <c r="H19" s="101">
        <f t="shared" si="12"/>
        <v>167.36802072787509</v>
      </c>
      <c r="I19" s="101">
        <f t="shared" si="12"/>
        <v>257.68274708528168</v>
      </c>
      <c r="J19" s="101">
        <f t="shared" si="12"/>
        <v>269.65548026642176</v>
      </c>
      <c r="K19" s="101">
        <f t="shared" si="12"/>
        <v>393.53762285569218</v>
      </c>
      <c r="L19" s="101">
        <f t="shared" si="12"/>
        <v>537.9731784651151</v>
      </c>
      <c r="M19" s="101">
        <f t="shared" si="12"/>
        <v>496.91869334160657</v>
      </c>
      <c r="N19" s="101">
        <f t="shared" si="12"/>
        <v>556.19195178308655</v>
      </c>
      <c r="O19" s="101">
        <f t="shared" si="12"/>
        <v>635.25745604130384</v>
      </c>
      <c r="P19" s="101">
        <f t="shared" si="12"/>
        <v>722.94075898555434</v>
      </c>
      <c r="Q19" s="101">
        <f t="shared" si="12"/>
        <v>819.9717056099397</v>
      </c>
    </row>
    <row r="21" spans="1:17" x14ac:dyDescent="0.25">
      <c r="A21" t="s">
        <v>75</v>
      </c>
    </row>
    <row r="22" spans="1:17" x14ac:dyDescent="0.25">
      <c r="A22" t="s">
        <v>76</v>
      </c>
      <c r="B22" s="101">
        <f>B19</f>
        <v>-84.533333333333303</v>
      </c>
      <c r="C22" s="101">
        <f t="shared" ref="C22:Q22" si="13">C19</f>
        <v>-89.235378133333484</v>
      </c>
      <c r="D22" s="101">
        <f t="shared" si="13"/>
        <v>-25.32495513429393</v>
      </c>
      <c r="E22" s="101">
        <f t="shared" si="13"/>
        <v>34.142297589249893</v>
      </c>
      <c r="F22" s="101">
        <f t="shared" si="13"/>
        <v>25.776859325092687</v>
      </c>
      <c r="G22" s="101">
        <f t="shared" si="13"/>
        <v>90.659448138157316</v>
      </c>
      <c r="H22" s="101">
        <f t="shared" si="13"/>
        <v>167.36802072787509</v>
      </c>
      <c r="I22" s="101">
        <f t="shared" si="13"/>
        <v>257.68274708528168</v>
      </c>
      <c r="J22" s="101">
        <f t="shared" si="13"/>
        <v>269.65548026642176</v>
      </c>
      <c r="K22" s="101">
        <f t="shared" si="13"/>
        <v>393.53762285569218</v>
      </c>
      <c r="L22" s="101">
        <f t="shared" si="13"/>
        <v>537.9731784651151</v>
      </c>
      <c r="M22" s="101">
        <f t="shared" si="13"/>
        <v>496.91869334160657</v>
      </c>
      <c r="N22" s="101">
        <f t="shared" si="13"/>
        <v>556.19195178308655</v>
      </c>
      <c r="O22" s="101">
        <f t="shared" si="13"/>
        <v>635.25745604130384</v>
      </c>
      <c r="P22" s="101">
        <f t="shared" si="13"/>
        <v>722.94075898555434</v>
      </c>
      <c r="Q22" s="101">
        <f t="shared" si="13"/>
        <v>819.9717056099397</v>
      </c>
    </row>
    <row r="23" spans="1:17" x14ac:dyDescent="0.25">
      <c r="A23" t="s">
        <v>77</v>
      </c>
      <c r="B23" s="101">
        <f>B10</f>
        <v>141.53333333333333</v>
      </c>
      <c r="C23" s="101">
        <f t="shared" ref="C23:Q23" si="14">C10</f>
        <v>141.53333333333333</v>
      </c>
      <c r="D23" s="101">
        <f t="shared" si="14"/>
        <v>141.53333333333333</v>
      </c>
      <c r="E23" s="101">
        <f t="shared" si="14"/>
        <v>141.53333333333333</v>
      </c>
      <c r="F23" s="101">
        <f t="shared" si="14"/>
        <v>141.53333333333333</v>
      </c>
      <c r="G23" s="101">
        <f t="shared" si="14"/>
        <v>141.53333333333333</v>
      </c>
      <c r="H23" s="101">
        <f t="shared" si="14"/>
        <v>141.53333333333333</v>
      </c>
      <c r="I23" s="101">
        <f t="shared" si="14"/>
        <v>141.53333333333333</v>
      </c>
      <c r="J23" s="101">
        <f t="shared" si="14"/>
        <v>235.50722132262939</v>
      </c>
      <c r="K23" s="101">
        <f t="shared" si="14"/>
        <v>235.50722132262939</v>
      </c>
      <c r="L23" s="101">
        <f t="shared" si="14"/>
        <v>235.50722132262939</v>
      </c>
      <c r="M23" s="101">
        <f t="shared" si="14"/>
        <v>235.50722132262939</v>
      </c>
      <c r="N23" s="101">
        <f t="shared" si="14"/>
        <v>245.87605905256362</v>
      </c>
      <c r="O23" s="101">
        <f t="shared" si="14"/>
        <v>245.87605905256362</v>
      </c>
      <c r="P23" s="101">
        <f t="shared" si="14"/>
        <v>245.87605905256362</v>
      </c>
      <c r="Q23" s="101">
        <f t="shared" si="14"/>
        <v>245.87605905256362</v>
      </c>
    </row>
    <row r="24" spans="1:17" x14ac:dyDescent="0.25">
      <c r="A24" s="112" t="s">
        <v>78</v>
      </c>
      <c r="B24" s="113">
        <f>B22+B23</f>
        <v>57.000000000000028</v>
      </c>
      <c r="C24" s="113">
        <f t="shared" ref="C24:L24" si="15">C22+C23</f>
        <v>52.297955199999848</v>
      </c>
      <c r="D24" s="113">
        <f t="shared" si="15"/>
        <v>116.2083781990394</v>
      </c>
      <c r="E24" s="113">
        <f t="shared" si="15"/>
        <v>175.67563092258322</v>
      </c>
      <c r="F24" s="113">
        <f t="shared" si="15"/>
        <v>167.31019265842602</v>
      </c>
      <c r="G24" s="113">
        <f t="shared" si="15"/>
        <v>232.19278147149066</v>
      </c>
      <c r="H24" s="113">
        <f t="shared" si="15"/>
        <v>308.90135406120839</v>
      </c>
      <c r="I24" s="113">
        <f t="shared" si="15"/>
        <v>399.21608041861498</v>
      </c>
      <c r="J24" s="113">
        <f t="shared" si="15"/>
        <v>505.16270158905115</v>
      </c>
      <c r="K24" s="113">
        <f t="shared" si="15"/>
        <v>629.04484417832157</v>
      </c>
      <c r="L24" s="113">
        <f t="shared" si="15"/>
        <v>773.48039978774455</v>
      </c>
      <c r="M24" s="113">
        <f t="shared" ref="M24" si="16">M22+M23</f>
        <v>732.42591466423596</v>
      </c>
      <c r="N24" s="113">
        <f t="shared" ref="N24" si="17">N22+N23</f>
        <v>802.06801083565017</v>
      </c>
      <c r="O24" s="113">
        <f t="shared" ref="O24" si="18">O22+O23</f>
        <v>881.13351509386746</v>
      </c>
      <c r="P24" s="113">
        <f t="shared" ref="P24" si="19">P22+P23</f>
        <v>968.81681803811796</v>
      </c>
      <c r="Q24" s="113">
        <f t="shared" ref="Q24" si="20">Q22+Q23</f>
        <v>1065.8477646625033</v>
      </c>
    </row>
    <row r="26" spans="1:17" x14ac:dyDescent="0.25">
      <c r="A26" t="s">
        <v>2</v>
      </c>
    </row>
    <row r="27" spans="1:17" x14ac:dyDescent="0.25">
      <c r="A27" t="s">
        <v>104</v>
      </c>
      <c r="B27" s="101">
        <f>0.05*B5</f>
        <v>14</v>
      </c>
      <c r="C27" s="101">
        <f t="shared" ref="C27:Q27" si="21">0.05*C5</f>
        <v>18.986687999999997</v>
      </c>
      <c r="D27" s="101">
        <f t="shared" si="21"/>
        <v>24.732475857599962</v>
      </c>
      <c r="E27" s="101">
        <f t="shared" si="21"/>
        <v>31.494151578639151</v>
      </c>
      <c r="F27" s="101">
        <f t="shared" si="21"/>
        <v>39.425929513785093</v>
      </c>
      <c r="G27" s="101">
        <f t="shared" si="21"/>
        <v>48.70121761744084</v>
      </c>
      <c r="H27" s="101">
        <f t="shared" si="21"/>
        <v>59.517168774793731</v>
      </c>
      <c r="I27" s="101">
        <f t="shared" si="21"/>
        <v>72.097821113692632</v>
      </c>
      <c r="J27" s="101">
        <f t="shared" si="21"/>
        <v>86.697607691962418</v>
      </c>
      <c r="K27" s="101">
        <f t="shared" si="21"/>
        <v>103.60531090493603</v>
      </c>
      <c r="L27" s="101">
        <f t="shared" si="21"/>
        <v>123.14851735089852</v>
      </c>
      <c r="M27" s="101">
        <f t="shared" si="21"/>
        <v>143.15553188457133</v>
      </c>
      <c r="N27" s="101">
        <f t="shared" si="21"/>
        <v>168.85064793581523</v>
      </c>
      <c r="O27" s="101">
        <f t="shared" si="21"/>
        <v>198.46063641232294</v>
      </c>
      <c r="P27" s="101">
        <f t="shared" si="21"/>
        <v>232.48918634941279</v>
      </c>
      <c r="Q27" s="101">
        <f t="shared" si="21"/>
        <v>271.54402431870864</v>
      </c>
    </row>
    <row r="28" spans="1:17" x14ac:dyDescent="0.25">
      <c r="A28" t="s">
        <v>3</v>
      </c>
      <c r="B28" s="101">
        <f>0.1*B5</f>
        <v>28</v>
      </c>
      <c r="C28" s="101">
        <f t="shared" ref="C28:Q28" si="22">0.1*C5</f>
        <v>37.973375999999995</v>
      </c>
      <c r="D28" s="101">
        <f t="shared" si="22"/>
        <v>49.464951715199923</v>
      </c>
      <c r="E28" s="101">
        <f t="shared" si="22"/>
        <v>62.988303157278303</v>
      </c>
      <c r="F28" s="101">
        <f t="shared" si="22"/>
        <v>78.851859027570185</v>
      </c>
      <c r="G28" s="101">
        <f t="shared" si="22"/>
        <v>97.402435234881679</v>
      </c>
      <c r="H28" s="101">
        <f t="shared" si="22"/>
        <v>119.03433754958746</v>
      </c>
      <c r="I28" s="101">
        <f t="shared" si="22"/>
        <v>144.19564222738526</v>
      </c>
      <c r="J28" s="101">
        <f t="shared" si="22"/>
        <v>173.39521538392484</v>
      </c>
      <c r="K28" s="101">
        <f t="shared" si="22"/>
        <v>207.21062180987207</v>
      </c>
      <c r="L28" s="101">
        <f t="shared" si="22"/>
        <v>246.29703470179703</v>
      </c>
      <c r="M28" s="101">
        <f t="shared" si="22"/>
        <v>286.31106376914266</v>
      </c>
      <c r="N28" s="101">
        <f t="shared" si="22"/>
        <v>337.70129587163046</v>
      </c>
      <c r="O28" s="101">
        <f t="shared" si="22"/>
        <v>396.92127282464588</v>
      </c>
      <c r="P28" s="101">
        <f t="shared" si="22"/>
        <v>464.97837269882558</v>
      </c>
      <c r="Q28" s="101">
        <f t="shared" si="22"/>
        <v>543.08804863741727</v>
      </c>
    </row>
    <row r="29" spans="1:17" x14ac:dyDescent="0.25">
      <c r="A29" t="s">
        <v>98</v>
      </c>
      <c r="B29" s="101">
        <f>B27+B28</f>
        <v>42</v>
      </c>
      <c r="C29" s="101">
        <f t="shared" ref="C29:K29" si="23">C27+C28</f>
        <v>56.960063999999988</v>
      </c>
      <c r="D29" s="101">
        <f t="shared" si="23"/>
        <v>74.197427572799882</v>
      </c>
      <c r="E29" s="101">
        <f t="shared" si="23"/>
        <v>94.482454735917457</v>
      </c>
      <c r="F29" s="101">
        <f t="shared" si="23"/>
        <v>118.27778854135528</v>
      </c>
      <c r="G29" s="101">
        <f t="shared" si="23"/>
        <v>146.10365285232251</v>
      </c>
      <c r="H29" s="101">
        <f t="shared" si="23"/>
        <v>178.55150632438119</v>
      </c>
      <c r="I29" s="101">
        <f t="shared" si="23"/>
        <v>216.29346334107788</v>
      </c>
      <c r="J29" s="101">
        <f t="shared" si="23"/>
        <v>260.09282307588728</v>
      </c>
      <c r="K29" s="101">
        <f t="shared" si="23"/>
        <v>310.81593271480813</v>
      </c>
      <c r="L29" s="101">
        <f t="shared" ref="L29" si="24">L27+L28</f>
        <v>369.44555205269558</v>
      </c>
      <c r="M29" s="101">
        <f t="shared" ref="M29" si="25">M27+M28</f>
        <v>429.46659565371397</v>
      </c>
      <c r="N29" s="101">
        <f t="shared" ref="N29" si="26">N27+N28</f>
        <v>506.5519438074457</v>
      </c>
      <c r="O29" s="101">
        <f t="shared" ref="O29" si="27">O27+O28</f>
        <v>595.3819092369688</v>
      </c>
      <c r="P29" s="101">
        <f t="shared" ref="P29" si="28">P27+P28</f>
        <v>697.4675590482384</v>
      </c>
      <c r="Q29" s="101">
        <f t="shared" ref="Q29" si="29">Q27+Q28</f>
        <v>814.63207295612597</v>
      </c>
    </row>
    <row r="31" spans="1:17" x14ac:dyDescent="0.25">
      <c r="A31" t="s">
        <v>97</v>
      </c>
      <c r="B31" s="101">
        <f>0.06*B5</f>
        <v>16.8</v>
      </c>
      <c r="C31" s="101">
        <f t="shared" ref="C31:Q31" si="30">0.06*C5</f>
        <v>22.784025599999996</v>
      </c>
      <c r="D31" s="101">
        <f t="shared" si="30"/>
        <v>29.67897102911995</v>
      </c>
      <c r="E31" s="101">
        <f t="shared" si="30"/>
        <v>37.792981894366982</v>
      </c>
      <c r="F31" s="101">
        <f t="shared" si="30"/>
        <v>47.311115416542108</v>
      </c>
      <c r="G31" s="101">
        <f t="shared" si="30"/>
        <v>58.441461140929</v>
      </c>
      <c r="H31" s="101">
        <f t="shared" si="30"/>
        <v>71.420602529752472</v>
      </c>
      <c r="I31" s="101">
        <f t="shared" si="30"/>
        <v>86.517385336431147</v>
      </c>
      <c r="J31" s="101">
        <f t="shared" si="30"/>
        <v>104.03712923035489</v>
      </c>
      <c r="K31" s="101">
        <f t="shared" si="30"/>
        <v>124.32637308592322</v>
      </c>
      <c r="L31" s="101">
        <f t="shared" si="30"/>
        <v>147.77822082107821</v>
      </c>
      <c r="M31" s="101">
        <f t="shared" si="30"/>
        <v>171.78663826148559</v>
      </c>
      <c r="N31" s="101">
        <f t="shared" si="30"/>
        <v>202.62077752297827</v>
      </c>
      <c r="O31" s="101">
        <f t="shared" si="30"/>
        <v>238.1527636947875</v>
      </c>
      <c r="P31" s="101">
        <f t="shared" si="30"/>
        <v>278.98702361929531</v>
      </c>
      <c r="Q31" s="101">
        <f t="shared" si="30"/>
        <v>325.85282918245036</v>
      </c>
    </row>
    <row r="32" spans="1:17" x14ac:dyDescent="0.25">
      <c r="A32" t="s">
        <v>99</v>
      </c>
      <c r="B32" s="101">
        <f>B29-B31</f>
        <v>25.2</v>
      </c>
      <c r="C32" s="101">
        <f t="shared" ref="C32:K32" si="31">C29-C31</f>
        <v>34.176038399999996</v>
      </c>
      <c r="D32" s="101">
        <f t="shared" si="31"/>
        <v>44.518456543679932</v>
      </c>
      <c r="E32" s="101">
        <f t="shared" si="31"/>
        <v>56.689472841550476</v>
      </c>
      <c r="F32" s="101">
        <f t="shared" si="31"/>
        <v>70.96667312481317</v>
      </c>
      <c r="G32" s="101">
        <f t="shared" si="31"/>
        <v>87.662191711393518</v>
      </c>
      <c r="H32" s="101">
        <f t="shared" si="31"/>
        <v>107.13090379462872</v>
      </c>
      <c r="I32" s="101">
        <f t="shared" si="31"/>
        <v>129.77607800464673</v>
      </c>
      <c r="J32" s="101">
        <f t="shared" si="31"/>
        <v>156.0556938455324</v>
      </c>
      <c r="K32" s="101">
        <f t="shared" si="31"/>
        <v>186.4895596288849</v>
      </c>
      <c r="L32" s="101">
        <f t="shared" ref="L32" si="32">L29-L31</f>
        <v>221.66733123161737</v>
      </c>
      <c r="M32" s="101">
        <f t="shared" ref="M32" si="33">M29-M31</f>
        <v>257.6799573922284</v>
      </c>
      <c r="N32" s="101">
        <f t="shared" ref="N32" si="34">N29-N31</f>
        <v>303.93116628446739</v>
      </c>
      <c r="O32" s="101">
        <f t="shared" ref="O32" si="35">O29-O31</f>
        <v>357.2291455421813</v>
      </c>
      <c r="P32" s="101">
        <f t="shared" ref="P32" si="36">P29-P31</f>
        <v>418.48053542894309</v>
      </c>
      <c r="Q32" s="101">
        <f t="shared" ref="Q32" si="37">Q29-Q31</f>
        <v>488.7792437736756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13BD1-03E9-41AC-8D65-92939D609F78}">
  <dimension ref="A2:BG105"/>
  <sheetViews>
    <sheetView tabSelected="1" zoomScale="98" zoomScaleNormal="98" workbookViewId="0">
      <selection activeCell="G16" sqref="G16"/>
    </sheetView>
  </sheetViews>
  <sheetFormatPr defaultRowHeight="15" x14ac:dyDescent="0.25"/>
  <cols>
    <col min="1" max="1" width="25.7109375" customWidth="1"/>
  </cols>
  <sheetData>
    <row r="2" spans="1:17" x14ac:dyDescent="0.25">
      <c r="A2" s="188" t="s">
        <v>82</v>
      </c>
      <c r="B2" s="188"/>
      <c r="C2" s="188"/>
      <c r="D2" s="188"/>
      <c r="E2" s="188"/>
      <c r="H2" s="101"/>
    </row>
    <row r="3" spans="1:17" x14ac:dyDescent="0.25">
      <c r="N3" s="187" t="s">
        <v>101</v>
      </c>
      <c r="O3" s="187"/>
      <c r="P3" s="187"/>
      <c r="Q3" s="187"/>
    </row>
    <row r="4" spans="1:17" x14ac:dyDescent="0.25">
      <c r="A4" s="110" t="s">
        <v>64</v>
      </c>
      <c r="B4" s="110" t="s">
        <v>9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7" x14ac:dyDescent="0.25">
      <c r="A5" s="110"/>
      <c r="B5" s="143">
        <v>2022</v>
      </c>
      <c r="C5" s="143">
        <v>2023</v>
      </c>
      <c r="D5" s="143">
        <v>2024</v>
      </c>
      <c r="E5" s="143">
        <v>2025</v>
      </c>
      <c r="F5" s="143">
        <v>2026</v>
      </c>
      <c r="G5" s="143">
        <v>2027</v>
      </c>
      <c r="H5" s="143">
        <v>2028</v>
      </c>
      <c r="I5" s="143">
        <v>2029</v>
      </c>
      <c r="J5" s="143">
        <v>2030</v>
      </c>
      <c r="K5" s="143">
        <v>2031</v>
      </c>
      <c r="L5" s="143">
        <v>2032</v>
      </c>
      <c r="M5" s="143">
        <v>2033</v>
      </c>
      <c r="N5" s="143">
        <v>2034</v>
      </c>
      <c r="O5" s="143">
        <v>2035</v>
      </c>
      <c r="P5" s="143">
        <v>2036</v>
      </c>
      <c r="Q5" s="143">
        <v>2037</v>
      </c>
    </row>
    <row r="6" spans="1:17" x14ac:dyDescent="0.25">
      <c r="A6" s="117" t="s">
        <v>105</v>
      </c>
      <c r="B6" s="113">
        <v>57.000000000000028</v>
      </c>
      <c r="C6" s="113">
        <v>52.297955199999848</v>
      </c>
      <c r="D6" s="113">
        <v>116.2083781990394</v>
      </c>
      <c r="E6" s="113">
        <v>175.67563092258322</v>
      </c>
      <c r="F6" s="113">
        <v>167.31019265842602</v>
      </c>
      <c r="G6" s="113">
        <v>232.19278147149066</v>
      </c>
      <c r="H6" s="113">
        <v>308.90135406120839</v>
      </c>
      <c r="I6" s="113">
        <v>399.21608041861498</v>
      </c>
      <c r="J6" s="113">
        <v>505.16270158905115</v>
      </c>
      <c r="K6" s="113">
        <v>629.04484417832157</v>
      </c>
      <c r="L6" s="113">
        <v>773.48039978774455</v>
      </c>
      <c r="M6" s="113">
        <v>732.42591466423596</v>
      </c>
      <c r="N6" s="113">
        <v>802.06801083565017</v>
      </c>
      <c r="O6" s="113">
        <v>881.13351509386746</v>
      </c>
      <c r="P6" s="113">
        <v>968.81681803811796</v>
      </c>
      <c r="Q6" s="113">
        <v>1065.8477646625033</v>
      </c>
    </row>
    <row r="8" spans="1:17" x14ac:dyDescent="0.25">
      <c r="A8" s="110" t="s">
        <v>64</v>
      </c>
      <c r="B8" s="110" t="s">
        <v>9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7" x14ac:dyDescent="0.25">
      <c r="A9" s="110"/>
      <c r="B9" s="143">
        <v>2022</v>
      </c>
      <c r="C9" s="143">
        <v>2023</v>
      </c>
      <c r="D9" s="143">
        <v>2024</v>
      </c>
      <c r="E9" s="143">
        <v>2025</v>
      </c>
      <c r="F9" s="143">
        <v>2026</v>
      </c>
      <c r="G9" s="143">
        <v>2027</v>
      </c>
      <c r="H9" s="143">
        <v>2028</v>
      </c>
      <c r="I9" s="143">
        <v>2029</v>
      </c>
      <c r="J9" s="143">
        <v>2030</v>
      </c>
      <c r="K9" s="143">
        <v>2031</v>
      </c>
      <c r="L9" s="143">
        <v>2032</v>
      </c>
      <c r="M9" s="143">
        <v>2033</v>
      </c>
      <c r="N9" s="143">
        <v>2034</v>
      </c>
      <c r="O9" s="143">
        <v>2035</v>
      </c>
      <c r="P9" s="143">
        <v>2036</v>
      </c>
      <c r="Q9" s="143">
        <v>2037</v>
      </c>
    </row>
    <row r="10" spans="1:17" x14ac:dyDescent="0.25">
      <c r="A10" s="117" t="s">
        <v>76</v>
      </c>
      <c r="B10" s="101">
        <v>-84.533333333333303</v>
      </c>
      <c r="C10" s="101">
        <v>-89.235378133333484</v>
      </c>
      <c r="D10" s="101">
        <v>-25.32495513429393</v>
      </c>
      <c r="E10" s="101">
        <v>34.142297589249893</v>
      </c>
      <c r="F10" s="101">
        <v>25.776859325092687</v>
      </c>
      <c r="G10" s="101">
        <v>90.659448138157316</v>
      </c>
      <c r="H10" s="101">
        <v>167.36802072787509</v>
      </c>
      <c r="I10" s="101">
        <v>257.68274708528168</v>
      </c>
      <c r="J10" s="101">
        <v>269.65548026642176</v>
      </c>
      <c r="K10" s="101">
        <v>393.53762285569218</v>
      </c>
      <c r="L10" s="101">
        <v>537.9731784651151</v>
      </c>
      <c r="M10" s="101">
        <v>496.91869334160657</v>
      </c>
      <c r="N10" s="101">
        <v>556.19195178308655</v>
      </c>
      <c r="O10" s="101">
        <v>635.25745604130384</v>
      </c>
      <c r="P10" s="101">
        <v>722.94075898555434</v>
      </c>
      <c r="Q10" s="101">
        <v>819.9717056099397</v>
      </c>
    </row>
    <row r="13" spans="1:17" x14ac:dyDescent="0.25">
      <c r="A13" s="181" t="s">
        <v>83</v>
      </c>
      <c r="B13" s="181"/>
      <c r="G13" s="183"/>
      <c r="H13" s="183"/>
      <c r="I13" s="1"/>
      <c r="J13" s="1"/>
      <c r="K13" s="1"/>
    </row>
    <row r="14" spans="1:17" x14ac:dyDescent="0.25">
      <c r="A14" s="119"/>
      <c r="B14" s="119"/>
      <c r="G14" s="2"/>
      <c r="H14" s="2"/>
      <c r="I14" s="1"/>
      <c r="J14" s="1"/>
      <c r="K14" s="1"/>
    </row>
    <row r="15" spans="1:17" x14ac:dyDescent="0.25">
      <c r="A15" s="120" t="s">
        <v>5</v>
      </c>
      <c r="B15" s="121">
        <v>0.11</v>
      </c>
      <c r="D15" s="3" t="s">
        <v>85</v>
      </c>
      <c r="E15" s="3">
        <f>1/(1+0.11)</f>
        <v>0.9009009009009008</v>
      </c>
      <c r="G15" s="2"/>
      <c r="H15" s="130"/>
      <c r="I15" s="1"/>
      <c r="J15" s="1"/>
      <c r="K15" s="1"/>
    </row>
    <row r="16" spans="1:17" x14ac:dyDescent="0.25">
      <c r="G16" s="1"/>
      <c r="H16" s="1"/>
      <c r="I16" s="1"/>
      <c r="J16" s="1"/>
      <c r="K16" s="1"/>
    </row>
    <row r="17" spans="1:14" x14ac:dyDescent="0.25">
      <c r="A17" s="3" t="s">
        <v>9</v>
      </c>
      <c r="B17" s="3" t="s">
        <v>86</v>
      </c>
      <c r="C17" s="3" t="s">
        <v>10</v>
      </c>
      <c r="D17" s="3" t="s">
        <v>87</v>
      </c>
      <c r="E17" s="3" t="s">
        <v>88</v>
      </c>
      <c r="G17" s="1"/>
      <c r="H17" s="1"/>
      <c r="I17" s="1"/>
      <c r="J17" s="1"/>
      <c r="K17" s="1"/>
    </row>
    <row r="18" spans="1:14" x14ac:dyDescent="0.25">
      <c r="A18" s="3">
        <v>2021</v>
      </c>
      <c r="B18" s="3">
        <v>0</v>
      </c>
      <c r="C18" s="3">
        <v>-150</v>
      </c>
      <c r="D18" s="9">
        <f>$E$15^B18</f>
        <v>1</v>
      </c>
      <c r="E18" s="122">
        <f t="shared" ref="E18:E34" si="0">C18*D18</f>
        <v>-150</v>
      </c>
      <c r="G18" s="1"/>
      <c r="H18" s="1"/>
      <c r="I18" s="1"/>
      <c r="J18" s="91"/>
      <c r="K18" s="91"/>
    </row>
    <row r="19" spans="1:14" x14ac:dyDescent="0.25">
      <c r="A19" s="3">
        <v>2022</v>
      </c>
      <c r="B19" s="3">
        <v>1</v>
      </c>
      <c r="C19" s="101">
        <v>-84.533333333333303</v>
      </c>
      <c r="D19" s="9">
        <f>$E$15^B19</f>
        <v>0.9009009009009008</v>
      </c>
      <c r="E19" s="122">
        <f t="shared" si="0"/>
        <v>-76.156156156156115</v>
      </c>
      <c r="G19" s="1"/>
      <c r="H19" s="1"/>
      <c r="I19" s="91"/>
      <c r="J19" s="91"/>
      <c r="K19" s="91"/>
    </row>
    <row r="20" spans="1:14" x14ac:dyDescent="0.25">
      <c r="A20" s="3">
        <v>2023</v>
      </c>
      <c r="B20" s="3">
        <v>2</v>
      </c>
      <c r="C20" s="101">
        <v>-89.235378133333484</v>
      </c>
      <c r="D20" s="9">
        <f t="shared" ref="D20:D34" si="1">$E$15^B20</f>
        <v>0.8116224332440547</v>
      </c>
      <c r="E20" s="122">
        <f t="shared" si="0"/>
        <v>-72.42543473202943</v>
      </c>
      <c r="G20" s="1"/>
      <c r="H20" s="1"/>
      <c r="I20" s="91"/>
      <c r="J20" s="91"/>
      <c r="K20" s="91"/>
      <c r="N20" s="127"/>
    </row>
    <row r="21" spans="1:14" x14ac:dyDescent="0.25">
      <c r="A21" s="3">
        <v>2024</v>
      </c>
      <c r="B21" s="3">
        <v>3</v>
      </c>
      <c r="C21" s="101">
        <v>-25.32495513429393</v>
      </c>
      <c r="D21" s="9">
        <f t="shared" si="1"/>
        <v>0.73119138130095007</v>
      </c>
      <c r="E21" s="122">
        <f t="shared" si="0"/>
        <v>-18.517388926028968</v>
      </c>
      <c r="G21" s="1"/>
      <c r="H21" s="1"/>
      <c r="I21" s="91"/>
      <c r="J21" s="91"/>
      <c r="K21" s="91"/>
      <c r="N21" s="101"/>
    </row>
    <row r="22" spans="1:14" x14ac:dyDescent="0.25">
      <c r="A22" s="3">
        <v>2025</v>
      </c>
      <c r="B22" s="3">
        <v>4</v>
      </c>
      <c r="C22" s="101">
        <v>34.142297589249893</v>
      </c>
      <c r="D22" s="9">
        <f t="shared" si="1"/>
        <v>0.65873097414500004</v>
      </c>
      <c r="E22" s="122">
        <f t="shared" si="0"/>
        <v>22.490588950515068</v>
      </c>
      <c r="G22" s="1"/>
      <c r="H22" s="1"/>
      <c r="I22" s="91"/>
      <c r="J22" s="91"/>
      <c r="K22" s="91"/>
    </row>
    <row r="23" spans="1:14" x14ac:dyDescent="0.25">
      <c r="A23" s="3">
        <v>2026</v>
      </c>
      <c r="B23" s="3">
        <v>5</v>
      </c>
      <c r="C23" s="101">
        <v>25.776859325092687</v>
      </c>
      <c r="D23" s="9">
        <f t="shared" si="1"/>
        <v>0.59345132805855849</v>
      </c>
      <c r="E23" s="122">
        <f t="shared" si="0"/>
        <v>15.297311399654893</v>
      </c>
      <c r="G23" s="1"/>
      <c r="H23" s="1"/>
      <c r="I23" s="91"/>
      <c r="J23" s="91"/>
      <c r="K23" s="91"/>
    </row>
    <row r="24" spans="1:14" x14ac:dyDescent="0.25">
      <c r="A24" s="3">
        <v>2027</v>
      </c>
      <c r="B24" s="3">
        <v>6</v>
      </c>
      <c r="C24" s="101">
        <v>90.659448138157316</v>
      </c>
      <c r="D24" s="9">
        <f t="shared" si="1"/>
        <v>0.53464083608879143</v>
      </c>
      <c r="E24" s="122">
        <f t="shared" si="0"/>
        <v>48.470243151932856</v>
      </c>
      <c r="G24" s="1"/>
      <c r="H24" s="1"/>
      <c r="I24" s="91"/>
      <c r="J24" s="91"/>
      <c r="K24" s="91"/>
    </row>
    <row r="25" spans="1:14" x14ac:dyDescent="0.25">
      <c r="A25" s="3">
        <v>2028</v>
      </c>
      <c r="B25" s="3">
        <v>7</v>
      </c>
      <c r="C25" s="101">
        <v>167.36802072787509</v>
      </c>
      <c r="D25" s="9">
        <f t="shared" si="1"/>
        <v>0.48165841089080302</v>
      </c>
      <c r="E25" s="122">
        <f t="shared" si="0"/>
        <v>80.614214897727294</v>
      </c>
      <c r="G25" s="1"/>
      <c r="H25" s="1"/>
      <c r="I25" s="91"/>
      <c r="J25" s="91"/>
      <c r="K25" s="91"/>
    </row>
    <row r="26" spans="1:14" x14ac:dyDescent="0.25">
      <c r="A26" s="3">
        <v>2029</v>
      </c>
      <c r="B26" s="3">
        <v>8</v>
      </c>
      <c r="C26" s="101">
        <v>257.68274708528168</v>
      </c>
      <c r="D26" s="9">
        <f t="shared" si="1"/>
        <v>0.43392649629802071</v>
      </c>
      <c r="E26" s="122">
        <f t="shared" si="0"/>
        <v>111.81537159916529</v>
      </c>
      <c r="G26" s="1"/>
      <c r="H26" s="1"/>
      <c r="I26" s="91"/>
      <c r="J26" s="91"/>
      <c r="K26" s="91"/>
    </row>
    <row r="27" spans="1:14" x14ac:dyDescent="0.25">
      <c r="A27" s="3">
        <v>2030</v>
      </c>
      <c r="B27" s="3">
        <v>9</v>
      </c>
      <c r="C27" s="101">
        <v>269.65548026642176</v>
      </c>
      <c r="D27" s="9">
        <f t="shared" si="1"/>
        <v>0.39092477143965826</v>
      </c>
      <c r="E27" s="122">
        <f t="shared" si="0"/>
        <v>105.41500699060221</v>
      </c>
      <c r="G27" s="1"/>
      <c r="H27" s="1"/>
      <c r="I27" s="91"/>
      <c r="J27" s="1"/>
      <c r="K27" s="91"/>
    </row>
    <row r="28" spans="1:14" x14ac:dyDescent="0.25">
      <c r="A28" s="3">
        <v>2031</v>
      </c>
      <c r="B28" s="3">
        <v>10</v>
      </c>
      <c r="C28" s="101">
        <v>393.53762285569218</v>
      </c>
      <c r="D28" s="9">
        <f t="shared" si="1"/>
        <v>0.35218447877446685</v>
      </c>
      <c r="E28" s="122">
        <f t="shared" si="0"/>
        <v>138.59784258357467</v>
      </c>
      <c r="G28" s="1"/>
      <c r="H28" s="1"/>
      <c r="I28" s="91"/>
      <c r="J28" s="1"/>
      <c r="K28" s="91"/>
    </row>
    <row r="29" spans="1:14" x14ac:dyDescent="0.25">
      <c r="A29" s="3">
        <v>2032</v>
      </c>
      <c r="B29" s="3">
        <v>11</v>
      </c>
      <c r="C29" s="101">
        <v>537.9731784651151</v>
      </c>
      <c r="D29" s="9">
        <f t="shared" si="1"/>
        <v>0.31728331421123135</v>
      </c>
      <c r="E29" s="122">
        <f t="shared" si="0"/>
        <v>170.68991302016195</v>
      </c>
      <c r="G29" s="1"/>
      <c r="H29" s="1"/>
      <c r="I29" s="91"/>
      <c r="J29" s="1"/>
      <c r="K29" s="91"/>
    </row>
    <row r="30" spans="1:14" x14ac:dyDescent="0.25">
      <c r="A30" s="155">
        <v>2033</v>
      </c>
      <c r="B30" s="3">
        <v>12</v>
      </c>
      <c r="C30" s="101">
        <v>496.91869334160657</v>
      </c>
      <c r="D30" s="9">
        <f t="shared" si="1"/>
        <v>0.28584082361372193</v>
      </c>
      <c r="E30" s="122">
        <f t="shared" si="0"/>
        <v>142.03964857381933</v>
      </c>
      <c r="G30" s="1"/>
      <c r="H30" s="1"/>
      <c r="I30" s="91"/>
      <c r="J30" s="1"/>
      <c r="K30" s="91"/>
    </row>
    <row r="31" spans="1:14" x14ac:dyDescent="0.25">
      <c r="A31" s="155">
        <v>2034</v>
      </c>
      <c r="B31" s="3">
        <v>13</v>
      </c>
      <c r="C31" s="101">
        <v>556.19195178308655</v>
      </c>
      <c r="D31" s="9">
        <f t="shared" si="1"/>
        <v>0.25751425550785756</v>
      </c>
      <c r="E31" s="122">
        <f t="shared" si="0"/>
        <v>143.22735638288376</v>
      </c>
      <c r="G31" s="1"/>
      <c r="H31" s="1"/>
      <c r="I31" s="91"/>
      <c r="J31" s="1"/>
      <c r="K31" s="91"/>
    </row>
    <row r="32" spans="1:14" x14ac:dyDescent="0.25">
      <c r="A32" s="155">
        <v>2035</v>
      </c>
      <c r="B32" s="3">
        <v>14</v>
      </c>
      <c r="C32" s="101">
        <v>635.25745604130384</v>
      </c>
      <c r="D32" s="9">
        <f t="shared" si="1"/>
        <v>0.23199482478185365</v>
      </c>
      <c r="E32" s="122">
        <f t="shared" si="0"/>
        <v>147.37644220566838</v>
      </c>
      <c r="G32" s="1"/>
      <c r="H32" s="1"/>
      <c r="I32" s="91"/>
      <c r="J32" s="1"/>
      <c r="K32" s="91"/>
    </row>
    <row r="33" spans="1:59" x14ac:dyDescent="0.25">
      <c r="A33" s="155">
        <v>2036</v>
      </c>
      <c r="B33" s="3">
        <v>15</v>
      </c>
      <c r="C33" s="101">
        <v>722.94075898555434</v>
      </c>
      <c r="D33" s="9">
        <f t="shared" si="1"/>
        <v>0.20900434665031858</v>
      </c>
      <c r="E33" s="122">
        <f t="shared" si="0"/>
        <v>151.09776099866122</v>
      </c>
      <c r="G33" s="1"/>
      <c r="H33" s="1"/>
      <c r="I33" s="91"/>
      <c r="J33" s="1"/>
      <c r="K33" s="91"/>
    </row>
    <row r="34" spans="1:59" x14ac:dyDescent="0.25">
      <c r="A34" s="155">
        <v>2037</v>
      </c>
      <c r="B34" s="3">
        <v>16</v>
      </c>
      <c r="C34" s="101">
        <v>819.9717056099397</v>
      </c>
      <c r="D34" s="9">
        <f t="shared" si="1"/>
        <v>0.18829220418947618</v>
      </c>
      <c r="E34" s="122">
        <f t="shared" si="0"/>
        <v>154.39427982229981</v>
      </c>
      <c r="G34" s="1"/>
      <c r="H34" s="1"/>
      <c r="I34" s="91"/>
      <c r="J34" s="1"/>
      <c r="K34" s="91"/>
    </row>
    <row r="35" spans="1:59" x14ac:dyDescent="0.25">
      <c r="A35" s="155"/>
      <c r="G35" s="1"/>
      <c r="H35" s="1"/>
      <c r="I35" s="1"/>
      <c r="J35" s="1"/>
      <c r="K35" s="1"/>
    </row>
    <row r="36" spans="1:59" x14ac:dyDescent="0.25">
      <c r="A36" s="155"/>
      <c r="D36" s="3" t="s">
        <v>84</v>
      </c>
      <c r="E36" s="123">
        <f>SUM(E18:E34)</f>
        <v>1114.4270007624523</v>
      </c>
      <c r="G36" s="1"/>
      <c r="H36" s="1"/>
      <c r="I36" s="1"/>
      <c r="J36" s="1"/>
      <c r="K36" s="91"/>
    </row>
    <row r="37" spans="1:59" x14ac:dyDescent="0.25">
      <c r="A37" s="155"/>
      <c r="D37" s="6"/>
      <c r="E37" s="91"/>
      <c r="G37" s="1"/>
      <c r="H37" s="1"/>
      <c r="I37" s="1"/>
      <c r="J37" s="1"/>
      <c r="K37" s="91"/>
    </row>
    <row r="38" spans="1:59" x14ac:dyDescent="0.25">
      <c r="A38" s="155"/>
      <c r="D38" s="6"/>
      <c r="E38" s="91"/>
      <c r="G38" s="1"/>
      <c r="H38" s="1"/>
      <c r="I38" s="1"/>
      <c r="J38" s="1"/>
      <c r="K38" s="91"/>
    </row>
    <row r="39" spans="1:59" x14ac:dyDescent="0.25">
      <c r="A39" s="155"/>
      <c r="D39" s="6"/>
      <c r="E39" s="91"/>
      <c r="G39" s="1"/>
      <c r="H39" s="1"/>
      <c r="I39" s="1"/>
      <c r="J39" s="1"/>
      <c r="K39" s="91"/>
    </row>
    <row r="40" spans="1:59" x14ac:dyDescent="0.25">
      <c r="D40" s="6"/>
      <c r="E40" s="91"/>
      <c r="G40" s="1"/>
      <c r="H40" s="1"/>
      <c r="I40" s="1"/>
      <c r="J40" s="1"/>
      <c r="K40" s="91"/>
    </row>
    <row r="41" spans="1:59" x14ac:dyDescent="0.25">
      <c r="D41" s="6"/>
      <c r="E41" s="91"/>
      <c r="G41" s="1"/>
      <c r="H41" s="1"/>
      <c r="I41" s="1"/>
      <c r="J41" s="1"/>
      <c r="K41" s="91"/>
    </row>
    <row r="43" spans="1:59" x14ac:dyDescent="0.25">
      <c r="A43" t="s">
        <v>91</v>
      </c>
    </row>
    <row r="44" spans="1:59" x14ac:dyDescent="0.25">
      <c r="A44" s="120" t="s">
        <v>92</v>
      </c>
      <c r="B44" s="125">
        <v>0.01</v>
      </c>
      <c r="D44" s="3"/>
      <c r="E44" s="3"/>
      <c r="G44" s="120" t="s">
        <v>92</v>
      </c>
      <c r="H44" s="125">
        <v>0.05</v>
      </c>
      <c r="J44" s="3"/>
      <c r="K44" s="3"/>
      <c r="M44" s="120" t="s">
        <v>92</v>
      </c>
      <c r="N44" s="129">
        <v>7.4999999999999997E-2</v>
      </c>
      <c r="P44" s="3"/>
      <c r="Q44" s="3"/>
      <c r="S44" s="120" t="s">
        <v>92</v>
      </c>
      <c r="T44" s="125">
        <v>0.1</v>
      </c>
      <c r="V44" s="3"/>
      <c r="W44" s="3"/>
      <c r="Y44" s="120" t="s">
        <v>92</v>
      </c>
      <c r="Z44" s="125">
        <v>0.125</v>
      </c>
      <c r="AB44" s="3"/>
      <c r="AC44" s="3"/>
      <c r="AE44" s="120" t="s">
        <v>92</v>
      </c>
      <c r="AF44" s="125">
        <v>0.15</v>
      </c>
      <c r="AH44" s="3"/>
      <c r="AI44" s="3"/>
      <c r="AK44" s="120" t="s">
        <v>92</v>
      </c>
      <c r="AL44" s="125">
        <v>0.2</v>
      </c>
      <c r="AN44" s="3"/>
      <c r="AO44" s="3"/>
      <c r="AQ44" s="120" t="s">
        <v>92</v>
      </c>
      <c r="AR44" s="125">
        <v>0.25</v>
      </c>
      <c r="AT44" s="3"/>
      <c r="AU44" s="3"/>
      <c r="AW44" s="120" t="s">
        <v>92</v>
      </c>
      <c r="AX44" s="125">
        <v>0.27500000000000002</v>
      </c>
      <c r="AZ44" s="3"/>
      <c r="BA44" s="3"/>
      <c r="BC44" s="120" t="s">
        <v>92</v>
      </c>
      <c r="BD44" s="125">
        <v>0.3</v>
      </c>
      <c r="BF44" s="3"/>
      <c r="BG44" s="3"/>
    </row>
    <row r="46" spans="1:59" x14ac:dyDescent="0.25">
      <c r="A46" s="3" t="s">
        <v>9</v>
      </c>
      <c r="B46" s="3" t="s">
        <v>86</v>
      </c>
      <c r="C46" s="3" t="s">
        <v>10</v>
      </c>
      <c r="D46" s="3" t="s">
        <v>87</v>
      </c>
      <c r="E46" s="3" t="s">
        <v>88</v>
      </c>
      <c r="G46" s="3" t="s">
        <v>9</v>
      </c>
      <c r="H46" s="3" t="s">
        <v>86</v>
      </c>
      <c r="I46" s="3" t="s">
        <v>10</v>
      </c>
      <c r="J46" s="3" t="s">
        <v>87</v>
      </c>
      <c r="K46" s="3" t="s">
        <v>88</v>
      </c>
      <c r="M46" s="3" t="s">
        <v>9</v>
      </c>
      <c r="N46" s="3" t="s">
        <v>86</v>
      </c>
      <c r="O46" s="3" t="s">
        <v>10</v>
      </c>
      <c r="P46" s="3" t="s">
        <v>87</v>
      </c>
      <c r="Q46" s="3" t="s">
        <v>88</v>
      </c>
      <c r="S46" s="3" t="s">
        <v>9</v>
      </c>
      <c r="T46" s="3" t="s">
        <v>86</v>
      </c>
      <c r="U46" s="3" t="s">
        <v>10</v>
      </c>
      <c r="V46" s="3" t="s">
        <v>87</v>
      </c>
      <c r="W46" s="3" t="s">
        <v>88</v>
      </c>
      <c r="Y46" s="3" t="s">
        <v>9</v>
      </c>
      <c r="Z46" s="3" t="s">
        <v>86</v>
      </c>
      <c r="AA46" s="3" t="s">
        <v>10</v>
      </c>
      <c r="AB46" s="3" t="s">
        <v>87</v>
      </c>
      <c r="AC46" s="3" t="s">
        <v>88</v>
      </c>
      <c r="AE46" s="3" t="s">
        <v>9</v>
      </c>
      <c r="AF46" s="3" t="s">
        <v>86</v>
      </c>
      <c r="AG46" s="3" t="s">
        <v>10</v>
      </c>
      <c r="AH46" s="3" t="s">
        <v>87</v>
      </c>
      <c r="AI46" s="3" t="s">
        <v>88</v>
      </c>
      <c r="AK46" s="3" t="s">
        <v>9</v>
      </c>
      <c r="AL46" s="3" t="s">
        <v>86</v>
      </c>
      <c r="AM46" s="3" t="s">
        <v>10</v>
      </c>
      <c r="AN46" s="3" t="s">
        <v>87</v>
      </c>
      <c r="AO46" s="3" t="s">
        <v>88</v>
      </c>
      <c r="AQ46" s="3" t="s">
        <v>9</v>
      </c>
      <c r="AR46" s="3" t="s">
        <v>86</v>
      </c>
      <c r="AS46" s="3" t="s">
        <v>10</v>
      </c>
      <c r="AT46" s="3" t="s">
        <v>87</v>
      </c>
      <c r="AU46" s="3" t="s">
        <v>88</v>
      </c>
      <c r="AW46" s="3" t="s">
        <v>9</v>
      </c>
      <c r="AX46" s="3" t="s">
        <v>86</v>
      </c>
      <c r="AY46" s="3" t="s">
        <v>10</v>
      </c>
      <c r="AZ46" s="3" t="s">
        <v>87</v>
      </c>
      <c r="BA46" s="3" t="s">
        <v>88</v>
      </c>
      <c r="BC46" s="3" t="s">
        <v>9</v>
      </c>
      <c r="BD46" s="3" t="s">
        <v>86</v>
      </c>
      <c r="BE46" s="3" t="s">
        <v>10</v>
      </c>
      <c r="BF46" s="3" t="s">
        <v>87</v>
      </c>
      <c r="BG46" s="3" t="s">
        <v>88</v>
      </c>
    </row>
    <row r="47" spans="1:59" x14ac:dyDescent="0.25">
      <c r="A47" s="3">
        <v>2021</v>
      </c>
      <c r="B47" s="3">
        <v>0</v>
      </c>
      <c r="C47" s="3">
        <v>-150</v>
      </c>
      <c r="D47" s="9">
        <f t="shared" ref="D47:D58" si="2">(1/(1+$B$44))^B47</f>
        <v>1</v>
      </c>
      <c r="E47" s="122">
        <f t="shared" ref="E47:E63" si="3">C47*D47</f>
        <v>-150</v>
      </c>
      <c r="G47" s="3">
        <v>2021</v>
      </c>
      <c r="H47" s="3">
        <v>0</v>
      </c>
      <c r="I47" s="3">
        <v>-150</v>
      </c>
      <c r="J47" s="124">
        <f t="shared" ref="J47:J58" si="4">(1/(1+$H$44))^H47</f>
        <v>1</v>
      </c>
      <c r="K47" s="122">
        <f t="shared" ref="K47:K63" si="5">I47*J47</f>
        <v>-150</v>
      </c>
      <c r="M47" s="3">
        <v>2021</v>
      </c>
      <c r="N47" s="3">
        <v>0</v>
      </c>
      <c r="O47" s="3">
        <v>-150</v>
      </c>
      <c r="P47" s="124">
        <f t="shared" ref="P47:P63" si="6">(1/(1+$N$44))^N47</f>
        <v>1</v>
      </c>
      <c r="Q47" s="122">
        <f t="shared" ref="Q47:Q63" si="7">O47*P47</f>
        <v>-150</v>
      </c>
      <c r="S47" s="3">
        <v>2021</v>
      </c>
      <c r="T47" s="3">
        <v>0</v>
      </c>
      <c r="U47" s="3">
        <v>-150</v>
      </c>
      <c r="V47" s="124">
        <f t="shared" ref="V47:V63" si="8">(1/(1+$T$44))^T47</f>
        <v>1</v>
      </c>
      <c r="W47" s="122">
        <f t="shared" ref="W47:W63" si="9">U47*V47</f>
        <v>-150</v>
      </c>
      <c r="Y47" s="3">
        <v>2021</v>
      </c>
      <c r="Z47" s="3">
        <v>0</v>
      </c>
      <c r="AA47" s="3">
        <v>-150</v>
      </c>
      <c r="AB47" s="124">
        <f t="shared" ref="AB47:AB63" si="10">(1/(1+$Z$44))^Z47</f>
        <v>1</v>
      </c>
      <c r="AC47" s="122">
        <f t="shared" ref="AC47:AC63" si="11">AA47*AB47</f>
        <v>-150</v>
      </c>
      <c r="AE47" s="3">
        <v>2021</v>
      </c>
      <c r="AF47" s="3">
        <v>0</v>
      </c>
      <c r="AG47" s="3">
        <v>-150</v>
      </c>
      <c r="AH47" s="124">
        <f t="shared" ref="AH47:AH63" si="12">(1/(1+$AF$44))^AF47</f>
        <v>1</v>
      </c>
      <c r="AI47" s="122">
        <f t="shared" ref="AI47:AI63" si="13">AG47*AH47</f>
        <v>-150</v>
      </c>
      <c r="AK47" s="3">
        <v>2021</v>
      </c>
      <c r="AL47" s="3">
        <v>0</v>
      </c>
      <c r="AM47" s="3">
        <v>-150</v>
      </c>
      <c r="AN47" s="124">
        <f t="shared" ref="AN47:AN63" si="14">(1/(1+$AL$44))^AL47</f>
        <v>1</v>
      </c>
      <c r="AO47" s="122">
        <f t="shared" ref="AO47:AO63" si="15">AM47*AN47</f>
        <v>-150</v>
      </c>
      <c r="AQ47" s="3">
        <v>2021</v>
      </c>
      <c r="AR47" s="3">
        <v>0</v>
      </c>
      <c r="AS47" s="3">
        <v>-150</v>
      </c>
      <c r="AT47" s="124">
        <f>(1/(1+$AR$44))^AR47</f>
        <v>1</v>
      </c>
      <c r="AU47" s="122">
        <f t="shared" ref="AU47:AU53" si="16">AS47*AT47</f>
        <v>-150</v>
      </c>
      <c r="AW47" s="3">
        <v>2021</v>
      </c>
      <c r="AX47" s="3">
        <v>0</v>
      </c>
      <c r="AY47" s="3">
        <v>-150</v>
      </c>
      <c r="AZ47" s="124">
        <f t="shared" ref="AZ47:AZ63" si="17">(1/(1+$AX$44))^AX47</f>
        <v>1</v>
      </c>
      <c r="BA47" s="122">
        <f t="shared" ref="BA47:BA63" si="18">AY47*AZ47</f>
        <v>-150</v>
      </c>
      <c r="BC47" s="3">
        <v>2021</v>
      </c>
      <c r="BD47" s="3">
        <v>0</v>
      </c>
      <c r="BE47" s="3">
        <v>-150</v>
      </c>
      <c r="BF47" s="124">
        <f t="shared" ref="BF47:BF63" si="19">(1/(1+$BD$44))^BD47</f>
        <v>1</v>
      </c>
      <c r="BG47" s="122">
        <f t="shared" ref="BG47:BG63" si="20">BE47*BF47</f>
        <v>-150</v>
      </c>
    </row>
    <row r="48" spans="1:59" x14ac:dyDescent="0.25">
      <c r="A48" s="3">
        <v>2022</v>
      </c>
      <c r="B48" s="3">
        <v>1</v>
      </c>
      <c r="C48" s="101">
        <v>-84.533333333333303</v>
      </c>
      <c r="D48" s="9">
        <f t="shared" si="2"/>
        <v>0.99009900990099009</v>
      </c>
      <c r="E48" s="122">
        <f t="shared" si="3"/>
        <v>-83.696369636963666</v>
      </c>
      <c r="G48" s="3">
        <v>2022</v>
      </c>
      <c r="H48" s="3">
        <v>1</v>
      </c>
      <c r="I48" s="101">
        <v>-84.533333333333303</v>
      </c>
      <c r="J48" s="124">
        <f t="shared" si="4"/>
        <v>0.95238095238095233</v>
      </c>
      <c r="K48" s="122">
        <f>I48*J48</f>
        <v>-80.507936507936478</v>
      </c>
      <c r="M48" s="3">
        <v>2022</v>
      </c>
      <c r="N48" s="3">
        <v>1</v>
      </c>
      <c r="O48" s="101">
        <v>-84.533333333333303</v>
      </c>
      <c r="P48" s="124">
        <f t="shared" si="6"/>
        <v>0.93023255813953487</v>
      </c>
      <c r="Q48" s="122">
        <f>O48*P48</f>
        <v>-78.635658914728651</v>
      </c>
      <c r="S48" s="3">
        <v>2022</v>
      </c>
      <c r="T48" s="3">
        <v>1</v>
      </c>
      <c r="U48" s="101">
        <v>-84.533333333333303</v>
      </c>
      <c r="V48" s="124">
        <f>(1/(1+$T$44))^T48</f>
        <v>0.90909090909090906</v>
      </c>
      <c r="W48" s="122">
        <f>U48*V48</f>
        <v>-76.848484848484816</v>
      </c>
      <c r="Y48" s="3">
        <v>2022</v>
      </c>
      <c r="Z48" s="3">
        <v>1</v>
      </c>
      <c r="AA48" s="101">
        <v>-84.533333333333303</v>
      </c>
      <c r="AB48" s="124">
        <f>(1/(1+$Z$44))^Z48</f>
        <v>0.88888888888888884</v>
      </c>
      <c r="AC48" s="122">
        <f>AA48*AB48</f>
        <v>-75.140740740740711</v>
      </c>
      <c r="AE48" s="3">
        <v>2022</v>
      </c>
      <c r="AF48" s="3">
        <v>1</v>
      </c>
      <c r="AG48" s="101">
        <v>-84.533333333333303</v>
      </c>
      <c r="AH48" s="124">
        <f t="shared" si="12"/>
        <v>0.86956521739130443</v>
      </c>
      <c r="AI48" s="122">
        <f>AG48*AH48</f>
        <v>-73.50724637681158</v>
      </c>
      <c r="AK48" s="3">
        <v>2022</v>
      </c>
      <c r="AL48" s="3">
        <v>1</v>
      </c>
      <c r="AM48" s="101">
        <v>-84.533333333333303</v>
      </c>
      <c r="AN48" s="124">
        <f>(1/(1+$AL$44))^AL48</f>
        <v>0.83333333333333337</v>
      </c>
      <c r="AO48" s="122">
        <f>AM48*AN48</f>
        <v>-70.444444444444429</v>
      </c>
      <c r="AQ48" s="3">
        <v>2022</v>
      </c>
      <c r="AR48" s="3">
        <v>1</v>
      </c>
      <c r="AS48" s="101">
        <v>-84.533333333333303</v>
      </c>
      <c r="AT48" s="124">
        <f t="shared" ref="AT48:AT63" si="21">(1/(1+$AR$44))^AR48</f>
        <v>0.8</v>
      </c>
      <c r="AU48" s="122">
        <f>AS48*AT48</f>
        <v>-67.626666666666651</v>
      </c>
      <c r="AW48" s="3">
        <v>2022</v>
      </c>
      <c r="AX48" s="3">
        <v>1</v>
      </c>
      <c r="AY48" s="101">
        <v>-84.533333333333303</v>
      </c>
      <c r="AZ48" s="124">
        <f>(1/(1+$AX$44))^AX48</f>
        <v>0.78431372549019618</v>
      </c>
      <c r="BA48" s="122">
        <f>AY48*AZ48</f>
        <v>-66.300653594771219</v>
      </c>
      <c r="BC48" s="3">
        <v>2022</v>
      </c>
      <c r="BD48" s="3">
        <v>1</v>
      </c>
      <c r="BE48" s="101">
        <v>-84.533333333333303</v>
      </c>
      <c r="BF48" s="124">
        <f>(1/(1+$BD$44))^BD48</f>
        <v>0.76923076923076916</v>
      </c>
      <c r="BG48" s="122">
        <f>BE48*BF48</f>
        <v>-65.025641025640994</v>
      </c>
    </row>
    <row r="49" spans="1:59" x14ac:dyDescent="0.25">
      <c r="A49" s="3">
        <v>2023</v>
      </c>
      <c r="B49" s="3">
        <v>2</v>
      </c>
      <c r="C49" s="101">
        <v>-89.235378133333484</v>
      </c>
      <c r="D49" s="9">
        <f t="shared" si="2"/>
        <v>0.98029604940692083</v>
      </c>
      <c r="E49" s="122">
        <f t="shared" si="3"/>
        <v>-87.477088651439544</v>
      </c>
      <c r="G49" s="3">
        <v>2023</v>
      </c>
      <c r="H49" s="3">
        <v>2</v>
      </c>
      <c r="I49" s="101">
        <v>-89.235378133333484</v>
      </c>
      <c r="J49" s="124">
        <f t="shared" si="4"/>
        <v>0.90702947845804982</v>
      </c>
      <c r="K49" s="122">
        <f t="shared" si="5"/>
        <v>-80.939118488284336</v>
      </c>
      <c r="M49" s="3">
        <v>2023</v>
      </c>
      <c r="N49" s="3">
        <v>2</v>
      </c>
      <c r="O49" s="101">
        <v>-89.235378133333484</v>
      </c>
      <c r="P49" s="124">
        <f t="shared" si="6"/>
        <v>0.86533261222282309</v>
      </c>
      <c r="Q49" s="122">
        <f t="shared" si="7"/>
        <v>-77.218282862808849</v>
      </c>
      <c r="S49" s="3">
        <v>2023</v>
      </c>
      <c r="T49" s="3">
        <v>2</v>
      </c>
      <c r="U49" s="101">
        <v>-89.235378133333484</v>
      </c>
      <c r="V49" s="124">
        <f t="shared" si="8"/>
        <v>0.82644628099173545</v>
      </c>
      <c r="W49" s="122">
        <f t="shared" si="9"/>
        <v>-73.748246391184693</v>
      </c>
      <c r="Y49" s="3">
        <v>2023</v>
      </c>
      <c r="Z49" s="3">
        <v>2</v>
      </c>
      <c r="AA49" s="101">
        <v>-89.235378133333484</v>
      </c>
      <c r="AB49" s="124">
        <f t="shared" si="10"/>
        <v>0.79012345679012341</v>
      </c>
      <c r="AC49" s="122">
        <f t="shared" si="11"/>
        <v>-70.506965438683238</v>
      </c>
      <c r="AE49" s="3">
        <v>2023</v>
      </c>
      <c r="AF49" s="3">
        <v>2</v>
      </c>
      <c r="AG49" s="101">
        <v>-89.235378133333484</v>
      </c>
      <c r="AH49" s="124">
        <f t="shared" si="12"/>
        <v>0.7561436672967865</v>
      </c>
      <c r="AI49" s="122">
        <f t="shared" si="13"/>
        <v>-67.47476607435425</v>
      </c>
      <c r="AK49" s="3">
        <v>2023</v>
      </c>
      <c r="AL49" s="3">
        <v>2</v>
      </c>
      <c r="AM49" s="101">
        <v>-89.235378133333484</v>
      </c>
      <c r="AN49" s="124">
        <f t="shared" si="14"/>
        <v>0.69444444444444453</v>
      </c>
      <c r="AO49" s="122">
        <f t="shared" si="15"/>
        <v>-61.969012592592705</v>
      </c>
      <c r="AQ49" s="3">
        <v>2023</v>
      </c>
      <c r="AR49" s="3">
        <v>2</v>
      </c>
      <c r="AS49" s="101">
        <v>-89.235378133333484</v>
      </c>
      <c r="AT49" s="124">
        <f t="shared" si="21"/>
        <v>0.64000000000000012</v>
      </c>
      <c r="AU49" s="122">
        <f t="shared" si="16"/>
        <v>-57.110642005333439</v>
      </c>
      <c r="AW49" s="3">
        <v>2023</v>
      </c>
      <c r="AX49" s="3">
        <v>2</v>
      </c>
      <c r="AY49" s="101">
        <v>-89.235378133333484</v>
      </c>
      <c r="AZ49" s="124">
        <f t="shared" si="17"/>
        <v>0.61514801999231083</v>
      </c>
      <c r="BA49" s="122">
        <f t="shared" si="18"/>
        <v>-54.892966171985243</v>
      </c>
      <c r="BC49" s="3">
        <v>2023</v>
      </c>
      <c r="BD49" s="3">
        <v>2</v>
      </c>
      <c r="BE49" s="101">
        <v>-89.235378133333484</v>
      </c>
      <c r="BF49" s="124">
        <f t="shared" si="19"/>
        <v>0.59171597633136086</v>
      </c>
      <c r="BG49" s="122">
        <f t="shared" si="20"/>
        <v>-52.801998895463591</v>
      </c>
    </row>
    <row r="50" spans="1:59" x14ac:dyDescent="0.25">
      <c r="A50" s="3">
        <v>2024</v>
      </c>
      <c r="B50" s="3">
        <v>3</v>
      </c>
      <c r="C50" s="101">
        <v>-25.32495513429393</v>
      </c>
      <c r="D50" s="9">
        <f t="shared" si="2"/>
        <v>0.97059014792764442</v>
      </c>
      <c r="E50" s="122">
        <f t="shared" si="3"/>
        <v>-24.580151950055303</v>
      </c>
      <c r="G50" s="3">
        <v>2024</v>
      </c>
      <c r="H50" s="3">
        <v>3</v>
      </c>
      <c r="I50" s="101">
        <v>-25.32495513429393</v>
      </c>
      <c r="J50" s="124">
        <f t="shared" si="4"/>
        <v>0.86383759853147601</v>
      </c>
      <c r="K50" s="122">
        <f t="shared" si="5"/>
        <v>-21.876648426125843</v>
      </c>
      <c r="M50" s="3">
        <v>2024</v>
      </c>
      <c r="N50" s="3">
        <v>3</v>
      </c>
      <c r="O50" s="101">
        <v>-25.32495513429393</v>
      </c>
      <c r="P50" s="124">
        <f t="shared" si="6"/>
        <v>0.80496056950960282</v>
      </c>
      <c r="Q50" s="122">
        <f t="shared" si="7"/>
        <v>-20.38559030770638</v>
      </c>
      <c r="S50" s="3">
        <v>2024</v>
      </c>
      <c r="T50" s="3">
        <v>3</v>
      </c>
      <c r="U50" s="101">
        <v>-25.32495513429393</v>
      </c>
      <c r="V50" s="124">
        <f t="shared" si="8"/>
        <v>0.75131480090157765</v>
      </c>
      <c r="W50" s="122">
        <f t="shared" si="9"/>
        <v>-19.02701362456343</v>
      </c>
      <c r="Y50" s="3">
        <v>2024</v>
      </c>
      <c r="Z50" s="3">
        <v>3</v>
      </c>
      <c r="AA50" s="101">
        <v>-25.32495513429393</v>
      </c>
      <c r="AB50" s="124">
        <f t="shared" si="10"/>
        <v>0.7023319615912208</v>
      </c>
      <c r="AC50" s="122">
        <f t="shared" si="11"/>
        <v>-17.786525416678316</v>
      </c>
      <c r="AE50" s="3">
        <v>2024</v>
      </c>
      <c r="AF50" s="3">
        <v>3</v>
      </c>
      <c r="AG50" s="101">
        <v>-25.32495513429393</v>
      </c>
      <c r="AH50" s="124">
        <f t="shared" si="12"/>
        <v>0.65751623243198831</v>
      </c>
      <c r="AI50" s="122">
        <f t="shared" si="13"/>
        <v>-16.651569086410085</v>
      </c>
      <c r="AK50" s="3">
        <v>2024</v>
      </c>
      <c r="AL50" s="3">
        <v>3</v>
      </c>
      <c r="AM50" s="101">
        <v>-25.32495513429393</v>
      </c>
      <c r="AN50" s="124">
        <f t="shared" si="14"/>
        <v>0.57870370370370383</v>
      </c>
      <c r="AO50" s="122">
        <f t="shared" si="15"/>
        <v>-14.655645332346028</v>
      </c>
      <c r="AQ50" s="3">
        <v>2024</v>
      </c>
      <c r="AR50" s="3">
        <v>3</v>
      </c>
      <c r="AS50" s="101">
        <v>-25.32495513429393</v>
      </c>
      <c r="AT50" s="124">
        <f t="shared" si="21"/>
        <v>0.51200000000000012</v>
      </c>
      <c r="AU50" s="122">
        <f t="shared" si="16"/>
        <v>-12.966377028758496</v>
      </c>
      <c r="AW50" s="3">
        <v>2024</v>
      </c>
      <c r="AX50" s="3">
        <v>3</v>
      </c>
      <c r="AY50" s="101">
        <v>-25.32495513429393</v>
      </c>
      <c r="AZ50" s="124">
        <f t="shared" si="17"/>
        <v>0.48246903528808699</v>
      </c>
      <c r="BA50" s="122">
        <f t="shared" si="18"/>
        <v>-12.218506672356877</v>
      </c>
      <c r="BC50" s="3">
        <v>2024</v>
      </c>
      <c r="BD50" s="3">
        <v>3</v>
      </c>
      <c r="BE50" s="101">
        <v>-25.32495513429393</v>
      </c>
      <c r="BF50" s="124">
        <f t="shared" si="19"/>
        <v>0.45516613563950831</v>
      </c>
      <c r="BG50" s="122">
        <f t="shared" si="20"/>
        <v>-11.527061963720493</v>
      </c>
    </row>
    <row r="51" spans="1:59" x14ac:dyDescent="0.25">
      <c r="A51" s="3">
        <v>2025</v>
      </c>
      <c r="B51" s="3">
        <v>4</v>
      </c>
      <c r="C51" s="101">
        <v>34.142297589249893</v>
      </c>
      <c r="D51" s="9">
        <f t="shared" si="2"/>
        <v>0.96098034448281622</v>
      </c>
      <c r="E51" s="122">
        <f t="shared" si="3"/>
        <v>32.810076898752186</v>
      </c>
      <c r="G51" s="3">
        <v>2025</v>
      </c>
      <c r="H51" s="3">
        <v>4</v>
      </c>
      <c r="I51" s="101">
        <v>34.142297589249893</v>
      </c>
      <c r="J51" s="124">
        <f t="shared" si="4"/>
        <v>0.82270247479188185</v>
      </c>
      <c r="K51" s="122">
        <f t="shared" si="5"/>
        <v>28.088952721756787</v>
      </c>
      <c r="M51" s="3">
        <v>2025</v>
      </c>
      <c r="N51" s="3">
        <v>4</v>
      </c>
      <c r="O51" s="101">
        <v>34.142297589249893</v>
      </c>
      <c r="P51" s="124">
        <f t="shared" si="6"/>
        <v>0.74880052977637468</v>
      </c>
      <c r="Q51" s="122">
        <f t="shared" si="7"/>
        <v>25.565770522612958</v>
      </c>
      <c r="S51" s="3">
        <v>2025</v>
      </c>
      <c r="T51" s="3">
        <v>4</v>
      </c>
      <c r="U51" s="101">
        <v>34.142297589249893</v>
      </c>
      <c r="V51" s="124">
        <f t="shared" si="8"/>
        <v>0.68301345536507052</v>
      </c>
      <c r="W51" s="122">
        <f t="shared" si="9"/>
        <v>23.319648650536088</v>
      </c>
      <c r="Y51" s="3">
        <v>2025</v>
      </c>
      <c r="Z51" s="3">
        <v>4</v>
      </c>
      <c r="AA51" s="101">
        <v>34.142297589249893</v>
      </c>
      <c r="AB51" s="124">
        <f t="shared" si="10"/>
        <v>0.62429507696997399</v>
      </c>
      <c r="AC51" s="122">
        <f t="shared" si="11"/>
        <v>21.31486830141252</v>
      </c>
      <c r="AE51" s="3">
        <v>2025</v>
      </c>
      <c r="AF51" s="3">
        <v>4</v>
      </c>
      <c r="AG51" s="101">
        <v>34.142297589249893</v>
      </c>
      <c r="AH51" s="124">
        <f t="shared" si="12"/>
        <v>0.57175324559303331</v>
      </c>
      <c r="AI51" s="122">
        <f t="shared" si="13"/>
        <v>19.520969458656822</v>
      </c>
      <c r="AK51" s="3">
        <v>2025</v>
      </c>
      <c r="AL51" s="3">
        <v>4</v>
      </c>
      <c r="AM51" s="101">
        <v>34.142297589249893</v>
      </c>
      <c r="AN51" s="124">
        <f t="shared" si="14"/>
        <v>0.48225308641975323</v>
      </c>
      <c r="AO51" s="122">
        <f t="shared" si="15"/>
        <v>16.46522838987746</v>
      </c>
      <c r="AQ51" s="3">
        <v>2025</v>
      </c>
      <c r="AR51" s="3">
        <v>4</v>
      </c>
      <c r="AS51" s="101">
        <v>34.142297589249893</v>
      </c>
      <c r="AT51" s="124">
        <f t="shared" si="21"/>
        <v>0.40960000000000019</v>
      </c>
      <c r="AU51" s="122">
        <f t="shared" si="16"/>
        <v>13.984685092556763</v>
      </c>
      <c r="AW51" s="3">
        <v>2025</v>
      </c>
      <c r="AX51" s="3">
        <v>4</v>
      </c>
      <c r="AY51" s="101">
        <v>34.142297589249893</v>
      </c>
      <c r="AZ51" s="124">
        <f t="shared" si="17"/>
        <v>0.37840708650046045</v>
      </c>
      <c r="BA51" s="122">
        <f t="shared" si="18"/>
        <v>12.919687357179747</v>
      </c>
      <c r="BC51" s="3">
        <v>2025</v>
      </c>
      <c r="BD51" s="3">
        <v>4</v>
      </c>
      <c r="BE51" s="101">
        <v>34.142297589249893</v>
      </c>
      <c r="BF51" s="124">
        <f t="shared" si="19"/>
        <v>0.35012779664577559</v>
      </c>
      <c r="BG51" s="122">
        <f t="shared" si="20"/>
        <v>11.954167427348441</v>
      </c>
    </row>
    <row r="52" spans="1:59" x14ac:dyDescent="0.25">
      <c r="A52" s="3">
        <v>2026</v>
      </c>
      <c r="B52" s="3">
        <v>5</v>
      </c>
      <c r="C52" s="101">
        <v>25.776859325092687</v>
      </c>
      <c r="D52" s="9">
        <f t="shared" si="2"/>
        <v>0.95146568760674877</v>
      </c>
      <c r="E52" s="122">
        <f t="shared" si="3"/>
        <v>24.525797182091747</v>
      </c>
      <c r="G52" s="3">
        <v>2026</v>
      </c>
      <c r="H52" s="3">
        <v>5</v>
      </c>
      <c r="I52" s="101">
        <v>25.776859325092687</v>
      </c>
      <c r="J52" s="124">
        <f t="shared" si="4"/>
        <v>0.78352616646845885</v>
      </c>
      <c r="K52" s="122">
        <f t="shared" si="5"/>
        <v>20.196843770586618</v>
      </c>
      <c r="M52" s="3">
        <v>2026</v>
      </c>
      <c r="N52" s="3">
        <v>5</v>
      </c>
      <c r="O52" s="101">
        <v>25.776859325092687</v>
      </c>
      <c r="P52" s="124">
        <f t="shared" si="6"/>
        <v>0.69655863235011595</v>
      </c>
      <c r="Q52" s="122">
        <f t="shared" si="7"/>
        <v>17.955093877767894</v>
      </c>
      <c r="S52" s="3">
        <v>2026</v>
      </c>
      <c r="T52" s="3">
        <v>5</v>
      </c>
      <c r="U52" s="101">
        <v>25.776859325092687</v>
      </c>
      <c r="V52" s="124">
        <f t="shared" si="8"/>
        <v>0.62092132305915504</v>
      </c>
      <c r="W52" s="122">
        <f t="shared" si="9"/>
        <v>16.005401596446269</v>
      </c>
      <c r="Y52" s="3">
        <v>2026</v>
      </c>
      <c r="Z52" s="3">
        <v>5</v>
      </c>
      <c r="AA52" s="101">
        <v>25.776859325092687</v>
      </c>
      <c r="AB52" s="124">
        <f t="shared" si="10"/>
        <v>0.55492895730664349</v>
      </c>
      <c r="AC52" s="122">
        <f t="shared" si="11"/>
        <v>14.304325667913714</v>
      </c>
      <c r="AE52" s="3">
        <v>2026</v>
      </c>
      <c r="AF52" s="3">
        <v>5</v>
      </c>
      <c r="AG52" s="101">
        <v>25.776859325092687</v>
      </c>
      <c r="AH52" s="124">
        <f t="shared" si="12"/>
        <v>0.49717673529828987</v>
      </c>
      <c r="AI52" s="122">
        <f t="shared" si="13"/>
        <v>12.815654765492862</v>
      </c>
      <c r="AK52" s="3">
        <v>2026</v>
      </c>
      <c r="AL52" s="3">
        <v>5</v>
      </c>
      <c r="AM52" s="101">
        <v>25.776859325092687</v>
      </c>
      <c r="AN52" s="124">
        <f t="shared" si="14"/>
        <v>0.40187757201646102</v>
      </c>
      <c r="AO52" s="122">
        <f t="shared" si="15"/>
        <v>10.359141639778121</v>
      </c>
      <c r="AQ52" s="3">
        <v>2026</v>
      </c>
      <c r="AR52" s="3">
        <v>5</v>
      </c>
      <c r="AS52" s="101">
        <v>25.776859325092687</v>
      </c>
      <c r="AT52" s="124">
        <f t="shared" si="21"/>
        <v>0.32768000000000019</v>
      </c>
      <c r="AU52" s="122">
        <f t="shared" si="16"/>
        <v>8.4465612636463767</v>
      </c>
      <c r="AW52" s="3">
        <v>2026</v>
      </c>
      <c r="AX52" s="3">
        <v>5</v>
      </c>
      <c r="AY52" s="101">
        <v>25.776859325092687</v>
      </c>
      <c r="AZ52" s="124">
        <f t="shared" si="17"/>
        <v>0.29678987176506705</v>
      </c>
      <c r="BA52" s="122">
        <f t="shared" si="18"/>
        <v>7.650310773600431</v>
      </c>
      <c r="BC52" s="3">
        <v>2026</v>
      </c>
      <c r="BD52" s="3">
        <v>5</v>
      </c>
      <c r="BE52" s="101">
        <v>25.776859325092687</v>
      </c>
      <c r="BF52" s="124">
        <f t="shared" si="19"/>
        <v>0.26932907434290426</v>
      </c>
      <c r="BG52" s="122">
        <f t="shared" si="20"/>
        <v>6.9424576614944735</v>
      </c>
    </row>
    <row r="53" spans="1:59" x14ac:dyDescent="0.25">
      <c r="A53" s="3">
        <v>2027</v>
      </c>
      <c r="B53" s="3">
        <v>6</v>
      </c>
      <c r="C53" s="101">
        <v>90.659448138157316</v>
      </c>
      <c r="D53" s="9">
        <f t="shared" si="2"/>
        <v>0.94204523525420658</v>
      </c>
      <c r="E53" s="122">
        <f t="shared" si="3"/>
        <v>85.405301149326945</v>
      </c>
      <c r="G53" s="3">
        <v>2027</v>
      </c>
      <c r="H53" s="3">
        <v>6</v>
      </c>
      <c r="I53" s="101">
        <v>90.659448138157316</v>
      </c>
      <c r="J53" s="124">
        <f t="shared" si="4"/>
        <v>0.7462153966366275</v>
      </c>
      <c r="K53" s="122">
        <f t="shared" si="5"/>
        <v>67.651476051272823</v>
      </c>
      <c r="M53" s="3">
        <v>2027</v>
      </c>
      <c r="N53" s="3">
        <v>6</v>
      </c>
      <c r="O53" s="101">
        <v>90.659448138157316</v>
      </c>
      <c r="P53" s="124">
        <f t="shared" si="6"/>
        <v>0.6479615184652241</v>
      </c>
      <c r="Q53" s="122">
        <f t="shared" si="7"/>
        <v>58.743833678819648</v>
      </c>
      <c r="S53" s="3">
        <v>2027</v>
      </c>
      <c r="T53" s="3">
        <v>6</v>
      </c>
      <c r="U53" s="101">
        <v>90.659448138157316</v>
      </c>
      <c r="V53" s="124">
        <f t="shared" si="8"/>
        <v>0.56447393005377722</v>
      </c>
      <c r="W53" s="122">
        <f t="shared" si="9"/>
        <v>51.174894987052255</v>
      </c>
      <c r="Y53" s="3">
        <v>2027</v>
      </c>
      <c r="Z53" s="3">
        <v>6</v>
      </c>
      <c r="AA53" s="101">
        <v>90.659448138157316</v>
      </c>
      <c r="AB53" s="124">
        <f t="shared" si="10"/>
        <v>0.49327018427257202</v>
      </c>
      <c r="AC53" s="122">
        <f t="shared" si="11"/>
        <v>44.719602689158549</v>
      </c>
      <c r="AE53" s="3">
        <v>2027</v>
      </c>
      <c r="AF53" s="3">
        <v>6</v>
      </c>
      <c r="AG53" s="101">
        <v>90.659448138157316</v>
      </c>
      <c r="AH53" s="124">
        <f t="shared" si="12"/>
        <v>0.43232759591155645</v>
      </c>
      <c r="AI53" s="122">
        <f t="shared" si="13"/>
        <v>39.194581260237982</v>
      </c>
      <c r="AK53" s="3">
        <v>2027</v>
      </c>
      <c r="AL53" s="3">
        <v>6</v>
      </c>
      <c r="AM53" s="101">
        <v>90.659448138157316</v>
      </c>
      <c r="AN53" s="124">
        <f t="shared" si="14"/>
        <v>0.33489797668038424</v>
      </c>
      <c r="AO53" s="122">
        <f t="shared" si="15"/>
        <v>30.361665748429111</v>
      </c>
      <c r="AQ53" s="3">
        <v>2027</v>
      </c>
      <c r="AR53" s="3">
        <v>6</v>
      </c>
      <c r="AS53" s="101">
        <v>90.659448138157316</v>
      </c>
      <c r="AT53" s="124">
        <f t="shared" si="21"/>
        <v>0.26214400000000015</v>
      </c>
      <c r="AU53" s="122">
        <f t="shared" si="16"/>
        <v>23.765830372729127</v>
      </c>
      <c r="AW53" s="3">
        <v>2027</v>
      </c>
      <c r="AX53" s="3">
        <v>6</v>
      </c>
      <c r="AY53" s="101">
        <v>90.659448138157316</v>
      </c>
      <c r="AZ53" s="124">
        <f t="shared" si="17"/>
        <v>0.23277637001181734</v>
      </c>
      <c r="BA53" s="122">
        <f t="shared" si="18"/>
        <v>21.103377244874871</v>
      </c>
      <c r="BC53" s="3">
        <v>2027</v>
      </c>
      <c r="BD53" s="3">
        <v>6</v>
      </c>
      <c r="BE53" s="101">
        <v>90.659448138157316</v>
      </c>
      <c r="BF53" s="124">
        <f t="shared" si="19"/>
        <v>0.20717621103300327</v>
      </c>
      <c r="BG53" s="122">
        <f t="shared" si="20"/>
        <v>18.782480959606495</v>
      </c>
    </row>
    <row r="54" spans="1:59" x14ac:dyDescent="0.25">
      <c r="A54" s="3">
        <v>2028</v>
      </c>
      <c r="B54" s="3">
        <v>7</v>
      </c>
      <c r="C54" s="101">
        <v>167.36802072787509</v>
      </c>
      <c r="D54" s="9">
        <f t="shared" si="2"/>
        <v>0.93271805470713531</v>
      </c>
      <c r="E54" s="122">
        <f t="shared" si="3"/>
        <v>156.10717471348715</v>
      </c>
      <c r="G54" s="3">
        <v>2028</v>
      </c>
      <c r="H54" s="3">
        <v>7</v>
      </c>
      <c r="I54" s="101">
        <v>167.36802072787509</v>
      </c>
      <c r="J54" s="124">
        <f t="shared" si="4"/>
        <v>0.71068133013012136</v>
      </c>
      <c r="K54" s="122">
        <f t="shared" si="5"/>
        <v>118.94532759213199</v>
      </c>
      <c r="M54" s="3">
        <v>2028</v>
      </c>
      <c r="N54" s="3">
        <v>7</v>
      </c>
      <c r="O54" s="101">
        <v>167.36802072787509</v>
      </c>
      <c r="P54" s="124">
        <f t="shared" si="6"/>
        <v>0.60275490089788286</v>
      </c>
      <c r="Q54" s="122">
        <f t="shared" si="7"/>
        <v>100.88189474730515</v>
      </c>
      <c r="S54" s="3">
        <v>2028</v>
      </c>
      <c r="T54" s="3">
        <v>7</v>
      </c>
      <c r="U54" s="101">
        <v>167.36802072787509</v>
      </c>
      <c r="V54" s="124">
        <f t="shared" si="8"/>
        <v>0.51315811823070656</v>
      </c>
      <c r="W54" s="122">
        <f t="shared" si="9"/>
        <v>85.886258568714268</v>
      </c>
      <c r="Y54" s="3">
        <v>2028</v>
      </c>
      <c r="Z54" s="3">
        <v>7</v>
      </c>
      <c r="AA54" s="101">
        <v>167.36802072787509</v>
      </c>
      <c r="AB54" s="124">
        <f t="shared" si="10"/>
        <v>0.43846238602006399</v>
      </c>
      <c r="AC54" s="122">
        <f t="shared" si="11"/>
        <v>73.38458171179964</v>
      </c>
      <c r="AE54" s="3">
        <v>2028</v>
      </c>
      <c r="AF54" s="3">
        <v>7</v>
      </c>
      <c r="AG54" s="101">
        <v>167.36802072787509</v>
      </c>
      <c r="AH54" s="124">
        <f t="shared" si="12"/>
        <v>0.37593703992309258</v>
      </c>
      <c r="AI54" s="122">
        <f t="shared" si="13"/>
        <v>62.919838290224163</v>
      </c>
      <c r="AK54" s="3">
        <v>2028</v>
      </c>
      <c r="AL54" s="3">
        <v>7</v>
      </c>
      <c r="AM54" s="101">
        <v>167.36802072787509</v>
      </c>
      <c r="AN54" s="124">
        <f t="shared" si="14"/>
        <v>0.27908164723365353</v>
      </c>
      <c r="AO54" s="122">
        <f t="shared" si="15"/>
        <v>46.70934291897165</v>
      </c>
      <c r="AQ54" s="3">
        <v>2028</v>
      </c>
      <c r="AR54" s="3">
        <v>7</v>
      </c>
      <c r="AS54" s="101">
        <v>167.36802072787509</v>
      </c>
      <c r="AT54" s="124">
        <f t="shared" si="21"/>
        <v>0.20971520000000016</v>
      </c>
      <c r="AU54" s="122">
        <f t="shared" ref="AU54:AU63" si="22">AS54*AT54</f>
        <v>35.099617940550495</v>
      </c>
      <c r="AW54" s="3">
        <v>2028</v>
      </c>
      <c r="AX54" s="3">
        <v>7</v>
      </c>
      <c r="AY54" s="101">
        <v>167.36802072787509</v>
      </c>
      <c r="AZ54" s="124">
        <f t="shared" si="17"/>
        <v>0.18256970197005284</v>
      </c>
      <c r="BA54" s="122">
        <f t="shared" si="18"/>
        <v>30.556329663605784</v>
      </c>
      <c r="BC54" s="3">
        <v>2028</v>
      </c>
      <c r="BD54" s="3">
        <v>7</v>
      </c>
      <c r="BE54" s="101">
        <v>167.36802072787509</v>
      </c>
      <c r="BF54" s="124">
        <f t="shared" si="19"/>
        <v>0.15936631617923327</v>
      </c>
      <c r="BG54" s="122">
        <f t="shared" si="20"/>
        <v>26.672824909611009</v>
      </c>
    </row>
    <row r="55" spans="1:59" x14ac:dyDescent="0.25">
      <c r="A55" s="3">
        <v>2029</v>
      </c>
      <c r="B55" s="3">
        <v>8</v>
      </c>
      <c r="C55" s="101">
        <v>257.68274708528168</v>
      </c>
      <c r="D55" s="9">
        <f t="shared" si="2"/>
        <v>0.92348322248231207</v>
      </c>
      <c r="E55" s="122">
        <f t="shared" si="3"/>
        <v>237.96569365641054</v>
      </c>
      <c r="G55" s="3">
        <v>2029</v>
      </c>
      <c r="H55" s="3">
        <v>8</v>
      </c>
      <c r="I55" s="101">
        <v>257.68274708528168</v>
      </c>
      <c r="J55" s="124">
        <f t="shared" si="4"/>
        <v>0.676839362028687</v>
      </c>
      <c r="K55" s="122">
        <f t="shared" si="5"/>
        <v>174.40982614300157</v>
      </c>
      <c r="M55" s="3">
        <v>2029</v>
      </c>
      <c r="N55" s="3">
        <v>8</v>
      </c>
      <c r="O55" s="101">
        <v>257.68274708528168</v>
      </c>
      <c r="P55" s="124">
        <f t="shared" si="6"/>
        <v>0.56070223339337943</v>
      </c>
      <c r="Q55" s="122">
        <f t="shared" si="7"/>
        <v>144.48329179765878</v>
      </c>
      <c r="S55" s="3">
        <v>2029</v>
      </c>
      <c r="T55" s="3">
        <v>8</v>
      </c>
      <c r="U55" s="101">
        <v>257.68274708528168</v>
      </c>
      <c r="V55" s="124">
        <f t="shared" si="8"/>
        <v>0.4665073802097332</v>
      </c>
      <c r="W55" s="122">
        <f t="shared" si="9"/>
        <v>120.21090326800201</v>
      </c>
      <c r="Y55" s="3">
        <v>2029</v>
      </c>
      <c r="Z55" s="3">
        <v>8</v>
      </c>
      <c r="AA55" s="101">
        <v>257.68274708528168</v>
      </c>
      <c r="AB55" s="124">
        <f t="shared" si="10"/>
        <v>0.38974434312894574</v>
      </c>
      <c r="AC55" s="122">
        <f t="shared" si="11"/>
        <v>100.43039299841536</v>
      </c>
      <c r="AE55" s="3">
        <v>2029</v>
      </c>
      <c r="AF55" s="3">
        <v>8</v>
      </c>
      <c r="AG55" s="101">
        <v>257.68274708528168</v>
      </c>
      <c r="AH55" s="124">
        <f t="shared" si="12"/>
        <v>0.32690177384616748</v>
      </c>
      <c r="AI55" s="122">
        <f t="shared" si="13"/>
        <v>84.236947111731922</v>
      </c>
      <c r="AK55" s="3">
        <v>2029</v>
      </c>
      <c r="AL55" s="3">
        <v>8</v>
      </c>
      <c r="AM55" s="101">
        <v>257.68274708528168</v>
      </c>
      <c r="AN55" s="124">
        <f t="shared" si="14"/>
        <v>0.23256803936137799</v>
      </c>
      <c r="AO55" s="122">
        <f t="shared" si="15"/>
        <v>59.928771266877796</v>
      </c>
      <c r="AQ55" s="3">
        <v>2029</v>
      </c>
      <c r="AR55" s="3">
        <v>8</v>
      </c>
      <c r="AS55" s="101">
        <v>257.68274708528168</v>
      </c>
      <c r="AT55" s="124">
        <f t="shared" si="21"/>
        <v>0.16777216000000014</v>
      </c>
      <c r="AU55" s="122">
        <f t="shared" si="22"/>
        <v>43.231991073231448</v>
      </c>
      <c r="AW55" s="3">
        <v>2029</v>
      </c>
      <c r="AX55" s="3">
        <v>8</v>
      </c>
      <c r="AY55" s="101">
        <v>257.68274708528168</v>
      </c>
      <c r="AZ55" s="124">
        <f t="shared" si="17"/>
        <v>0.14319192311376697</v>
      </c>
      <c r="BA55" s="122">
        <f t="shared" si="18"/>
        <v>36.898088108379916</v>
      </c>
      <c r="BC55" s="3">
        <v>2029</v>
      </c>
      <c r="BD55" s="3">
        <v>8</v>
      </c>
      <c r="BE55" s="101">
        <v>257.68274708528168</v>
      </c>
      <c r="BF55" s="124">
        <f t="shared" si="19"/>
        <v>0.12258947398402559</v>
      </c>
      <c r="BG55" s="122">
        <f t="shared" si="20"/>
        <v>31.589192419943384</v>
      </c>
    </row>
    <row r="56" spans="1:59" x14ac:dyDescent="0.25">
      <c r="A56" s="3">
        <v>2030</v>
      </c>
      <c r="B56" s="3">
        <v>9</v>
      </c>
      <c r="C56" s="101">
        <v>269.65548026642176</v>
      </c>
      <c r="D56" s="9">
        <f t="shared" si="2"/>
        <v>0.91433982423991289</v>
      </c>
      <c r="E56" s="122">
        <f t="shared" si="3"/>
        <v>246.55674443212936</v>
      </c>
      <c r="G56" s="3">
        <v>2030</v>
      </c>
      <c r="H56" s="3">
        <v>9</v>
      </c>
      <c r="I56" s="101">
        <v>269.65548026642176</v>
      </c>
      <c r="J56" s="124">
        <f t="shared" si="4"/>
        <v>0.64460891621779715</v>
      </c>
      <c r="K56" s="122">
        <f t="shared" si="5"/>
        <v>173.82232688672772</v>
      </c>
      <c r="M56" s="3">
        <v>2030</v>
      </c>
      <c r="N56" s="3">
        <v>9</v>
      </c>
      <c r="O56" s="101">
        <v>269.65548026642176</v>
      </c>
      <c r="P56" s="124">
        <f t="shared" si="6"/>
        <v>0.52158347292407392</v>
      </c>
      <c r="Q56" s="122">
        <f t="shared" si="7"/>
        <v>140.64784189036934</v>
      </c>
      <c r="S56" s="3">
        <v>2030</v>
      </c>
      <c r="T56" s="3">
        <v>9</v>
      </c>
      <c r="U56" s="101">
        <v>269.65548026642176</v>
      </c>
      <c r="V56" s="124">
        <f t="shared" si="8"/>
        <v>0.42409761837248472</v>
      </c>
      <c r="W56" s="122">
        <f t="shared" si="9"/>
        <v>114.36024696207802</v>
      </c>
      <c r="Y56" s="3">
        <v>2030</v>
      </c>
      <c r="Z56" s="3">
        <v>9</v>
      </c>
      <c r="AA56" s="101">
        <v>269.65548026642176</v>
      </c>
      <c r="AB56" s="124">
        <f t="shared" si="10"/>
        <v>0.34643941611461843</v>
      </c>
      <c r="AC56" s="122">
        <f t="shared" si="11"/>
        <v>93.419287135606169</v>
      </c>
      <c r="AE56" s="3">
        <v>2030</v>
      </c>
      <c r="AF56" s="3">
        <v>9</v>
      </c>
      <c r="AG56" s="101">
        <v>269.65548026642176</v>
      </c>
      <c r="AH56" s="124">
        <f t="shared" si="12"/>
        <v>0.28426241204014568</v>
      </c>
      <c r="AI56" s="122">
        <f t="shared" si="13"/>
        <v>76.652917240376951</v>
      </c>
      <c r="AK56" s="3">
        <v>2030</v>
      </c>
      <c r="AL56" s="3">
        <v>9</v>
      </c>
      <c r="AM56" s="101">
        <v>269.65548026642176</v>
      </c>
      <c r="AN56" s="124">
        <f t="shared" si="14"/>
        <v>0.19380669946781501</v>
      </c>
      <c r="AO56" s="122">
        <f t="shared" si="15"/>
        <v>52.261038623843724</v>
      </c>
      <c r="AQ56" s="3">
        <v>2030</v>
      </c>
      <c r="AR56" s="3">
        <v>9</v>
      </c>
      <c r="AS56" s="101">
        <v>269.65548026642176</v>
      </c>
      <c r="AT56" s="124">
        <f t="shared" si="21"/>
        <v>0.13421772800000012</v>
      </c>
      <c r="AU56" s="122">
        <f t="shared" si="22"/>
        <v>36.192545904107995</v>
      </c>
      <c r="AW56" s="3">
        <v>2030</v>
      </c>
      <c r="AX56" s="3">
        <v>9</v>
      </c>
      <c r="AY56" s="101">
        <v>269.65548026642176</v>
      </c>
      <c r="AZ56" s="124">
        <f t="shared" si="17"/>
        <v>0.1123073906774643</v>
      </c>
      <c r="BA56" s="122">
        <f t="shared" si="18"/>
        <v>30.284303370600295</v>
      </c>
      <c r="BC56" s="3">
        <v>2030</v>
      </c>
      <c r="BD56" s="3">
        <v>9</v>
      </c>
      <c r="BE56" s="101">
        <v>269.65548026642176</v>
      </c>
      <c r="BF56" s="124">
        <f t="shared" si="19"/>
        <v>9.4299595372327363E-2</v>
      </c>
      <c r="BG56" s="122">
        <f t="shared" si="20"/>
        <v>25.428402679054177</v>
      </c>
    </row>
    <row r="57" spans="1:59" x14ac:dyDescent="0.25">
      <c r="A57" s="3">
        <v>2031</v>
      </c>
      <c r="B57" s="3">
        <v>10</v>
      </c>
      <c r="C57" s="101">
        <v>393.53762285569218</v>
      </c>
      <c r="D57" s="9">
        <f t="shared" si="2"/>
        <v>0.90528695469298304</v>
      </c>
      <c r="E57" s="122">
        <f t="shared" si="3"/>
        <v>356.26447615214528</v>
      </c>
      <c r="G57" s="3">
        <v>2031</v>
      </c>
      <c r="H57" s="3">
        <v>10</v>
      </c>
      <c r="I57" s="101">
        <v>393.53762285569218</v>
      </c>
      <c r="J57" s="124">
        <f t="shared" si="4"/>
        <v>0.6139132535407591</v>
      </c>
      <c r="K57" s="122">
        <f t="shared" si="5"/>
        <v>241.59796243803419</v>
      </c>
      <c r="M57" s="3">
        <v>2031</v>
      </c>
      <c r="N57" s="3">
        <v>10</v>
      </c>
      <c r="O57" s="101">
        <v>393.53762285569218</v>
      </c>
      <c r="P57" s="124">
        <f t="shared" si="6"/>
        <v>0.48519392830146407</v>
      </c>
      <c r="Q57" s="122">
        <f t="shared" si="7"/>
        <v>190.94206516777331</v>
      </c>
      <c r="S57" s="3">
        <v>2031</v>
      </c>
      <c r="T57" s="3">
        <v>10</v>
      </c>
      <c r="U57" s="101">
        <v>393.53762285569218</v>
      </c>
      <c r="V57" s="124">
        <f t="shared" si="8"/>
        <v>0.38554328942953153</v>
      </c>
      <c r="W57" s="122">
        <f t="shared" si="9"/>
        <v>151.72578963006194</v>
      </c>
      <c r="Y57" s="3">
        <v>2031</v>
      </c>
      <c r="Z57" s="3">
        <v>10</v>
      </c>
      <c r="AA57" s="101">
        <v>393.53762285569218</v>
      </c>
      <c r="AB57" s="124">
        <f t="shared" si="10"/>
        <v>0.30794614765743861</v>
      </c>
      <c r="AC57" s="122">
        <f t="shared" si="11"/>
        <v>121.18839491667637</v>
      </c>
      <c r="AE57" s="3">
        <v>2031</v>
      </c>
      <c r="AF57" s="3">
        <v>10</v>
      </c>
      <c r="AG57" s="101">
        <v>393.53762285569218</v>
      </c>
      <c r="AH57" s="124">
        <f t="shared" si="12"/>
        <v>0.2471847061218658</v>
      </c>
      <c r="AI57" s="122">
        <f t="shared" si="13"/>
        <v>97.276481653481923</v>
      </c>
      <c r="AK57" s="3">
        <v>2031</v>
      </c>
      <c r="AL57" s="3">
        <v>10</v>
      </c>
      <c r="AM57" s="101">
        <v>393.53762285569218</v>
      </c>
      <c r="AN57" s="124">
        <f t="shared" si="14"/>
        <v>0.16150558288984584</v>
      </c>
      <c r="AO57" s="122">
        <f t="shared" si="15"/>
        <v>63.558523168392888</v>
      </c>
      <c r="AQ57" s="3">
        <v>2031</v>
      </c>
      <c r="AR57" s="3">
        <v>10</v>
      </c>
      <c r="AS57" s="101">
        <v>393.53762285569218</v>
      </c>
      <c r="AT57" s="124">
        <f t="shared" si="21"/>
        <v>0.10737418240000011</v>
      </c>
      <c r="AU57" s="122">
        <f t="shared" si="22"/>
        <v>42.255780497769543</v>
      </c>
      <c r="AW57" s="3">
        <v>2031</v>
      </c>
      <c r="AX57" s="3">
        <v>10</v>
      </c>
      <c r="AY57" s="101">
        <v>393.53762285569218</v>
      </c>
      <c r="AZ57" s="124">
        <f t="shared" si="17"/>
        <v>8.8084227982324959E-2</v>
      </c>
      <c r="BA57" s="122">
        <f t="shared" si="18"/>
        <v>34.664457691243008</v>
      </c>
      <c r="BC57" s="3">
        <v>2031</v>
      </c>
      <c r="BD57" s="3">
        <v>10</v>
      </c>
      <c r="BE57" s="101">
        <v>393.53762285569218</v>
      </c>
      <c r="BF57" s="124">
        <f t="shared" si="19"/>
        <v>7.2538150286405659E-2</v>
      </c>
      <c r="BG57" s="122">
        <f t="shared" si="20"/>
        <v>28.546491230061029</v>
      </c>
    </row>
    <row r="58" spans="1:59" x14ac:dyDescent="0.25">
      <c r="A58" s="3">
        <v>2032</v>
      </c>
      <c r="B58" s="3">
        <v>11</v>
      </c>
      <c r="C58" s="101">
        <v>537.9731784651151</v>
      </c>
      <c r="D58" s="9">
        <f t="shared" si="2"/>
        <v>0.89632371751780504</v>
      </c>
      <c r="E58" s="122">
        <f t="shared" si="3"/>
        <v>482.19811924672155</v>
      </c>
      <c r="G58" s="3">
        <v>2032</v>
      </c>
      <c r="H58" s="3">
        <v>11</v>
      </c>
      <c r="I58" s="101">
        <v>537.9731784651151</v>
      </c>
      <c r="J58" s="124">
        <f t="shared" si="4"/>
        <v>0.58467928908643729</v>
      </c>
      <c r="K58" s="122">
        <f t="shared" si="5"/>
        <v>314.54177553255454</v>
      </c>
      <c r="M58" s="3">
        <v>2032</v>
      </c>
      <c r="N58" s="3">
        <v>11</v>
      </c>
      <c r="O58" s="101">
        <v>537.9731784651151</v>
      </c>
      <c r="P58" s="124">
        <f t="shared" si="6"/>
        <v>0.45134318911764093</v>
      </c>
      <c r="Q58" s="122">
        <f t="shared" si="7"/>
        <v>242.81053002819883</v>
      </c>
      <c r="S58" s="3">
        <v>2032</v>
      </c>
      <c r="T58" s="3">
        <v>11</v>
      </c>
      <c r="U58" s="101">
        <v>537.9731784651151</v>
      </c>
      <c r="V58" s="124">
        <f t="shared" si="8"/>
        <v>0.35049389948139231</v>
      </c>
      <c r="W58" s="122">
        <f t="shared" si="9"/>
        <v>188.55631713663718</v>
      </c>
      <c r="Y58" s="3">
        <v>2032</v>
      </c>
      <c r="Z58" s="3">
        <v>11</v>
      </c>
      <c r="AA58" s="101">
        <v>537.9731784651151</v>
      </c>
      <c r="AB58" s="124">
        <f t="shared" si="10"/>
        <v>0.27372990902883432</v>
      </c>
      <c r="AC58" s="122">
        <f t="shared" si="11"/>
        <v>147.25934920120881</v>
      </c>
      <c r="AE58" s="3">
        <v>2032</v>
      </c>
      <c r="AF58" s="3">
        <v>11</v>
      </c>
      <c r="AG58" s="101">
        <v>537.9731784651151</v>
      </c>
      <c r="AH58" s="124">
        <f t="shared" si="12"/>
        <v>0.21494322271466593</v>
      </c>
      <c r="AI58" s="122">
        <f t="shared" si="13"/>
        <v>115.63368871334396</v>
      </c>
      <c r="AK58" s="3">
        <v>2032</v>
      </c>
      <c r="AL58" s="3">
        <v>11</v>
      </c>
      <c r="AM58" s="101">
        <v>537.9731784651151</v>
      </c>
      <c r="AN58" s="124">
        <f t="shared" si="14"/>
        <v>0.13458798574153821</v>
      </c>
      <c r="AO58" s="122">
        <f t="shared" si="15"/>
        <v>72.404726472592898</v>
      </c>
      <c r="AQ58" s="3">
        <v>2032</v>
      </c>
      <c r="AR58" s="3">
        <v>11</v>
      </c>
      <c r="AS58" s="101">
        <v>537.9731784651151</v>
      </c>
      <c r="AT58" s="124">
        <f t="shared" si="21"/>
        <v>8.5899345920000092E-2</v>
      </c>
      <c r="AU58" s="122">
        <f t="shared" si="22"/>
        <v>46.211544152656863</v>
      </c>
      <c r="AW58" s="3">
        <v>2032</v>
      </c>
      <c r="AX58" s="3">
        <v>11</v>
      </c>
      <c r="AY58" s="101">
        <v>537.9731784651151</v>
      </c>
      <c r="AZ58" s="124">
        <f t="shared" si="17"/>
        <v>6.9085669005745073E-2</v>
      </c>
      <c r="BA58" s="122">
        <f t="shared" si="18"/>
        <v>37.166236941409565</v>
      </c>
      <c r="BC58" s="3">
        <v>2032</v>
      </c>
      <c r="BD58" s="3">
        <v>11</v>
      </c>
      <c r="BE58" s="101">
        <v>537.9731784651151</v>
      </c>
      <c r="BF58" s="124">
        <f t="shared" si="19"/>
        <v>5.5798577143388962E-2</v>
      </c>
      <c r="BG58" s="122">
        <f t="shared" si="20"/>
        <v>30.018137899659884</v>
      </c>
    </row>
    <row r="59" spans="1:59" x14ac:dyDescent="0.25">
      <c r="A59" s="155">
        <v>2033</v>
      </c>
      <c r="B59" s="3">
        <v>12</v>
      </c>
      <c r="C59" s="101">
        <v>496.91869334160657</v>
      </c>
      <c r="D59" s="9">
        <f t="shared" ref="D59:D63" si="23">(1/(1+$B$44))^B59</f>
        <v>0.88744922526515346</v>
      </c>
      <c r="E59" s="122">
        <f t="shared" si="3"/>
        <v>440.9901094257811</v>
      </c>
      <c r="G59" s="155">
        <v>2033</v>
      </c>
      <c r="H59" s="3">
        <v>12</v>
      </c>
      <c r="I59" s="101">
        <v>496.91869334160657</v>
      </c>
      <c r="J59" s="124">
        <f t="shared" ref="J59:J63" si="24">(1/(1+$H$44))^H59</f>
        <v>0.55683741817755927</v>
      </c>
      <c r="K59" s="122">
        <f t="shared" si="5"/>
        <v>276.70292224450651</v>
      </c>
      <c r="M59" s="155">
        <v>2033</v>
      </c>
      <c r="N59" s="3">
        <v>12</v>
      </c>
      <c r="O59" s="101">
        <v>496.91869334160657</v>
      </c>
      <c r="P59" s="124">
        <f t="shared" si="6"/>
        <v>0.41985412941175898</v>
      </c>
      <c r="Q59" s="122">
        <f t="shared" si="7"/>
        <v>208.63336538136906</v>
      </c>
      <c r="S59" s="155">
        <v>2033</v>
      </c>
      <c r="T59" s="3">
        <v>12</v>
      </c>
      <c r="U59" s="101">
        <v>496.91869334160657</v>
      </c>
      <c r="V59" s="124">
        <f t="shared" si="8"/>
        <v>0.31863081771035662</v>
      </c>
      <c r="W59" s="122">
        <f t="shared" si="9"/>
        <v>158.33360959499805</v>
      </c>
      <c r="Y59" s="155">
        <v>2033</v>
      </c>
      <c r="Z59" s="3">
        <v>12</v>
      </c>
      <c r="AA59" s="101">
        <v>496.91869334160657</v>
      </c>
      <c r="AB59" s="124">
        <f t="shared" si="10"/>
        <v>0.24331547469229714</v>
      </c>
      <c r="AC59" s="122">
        <f t="shared" si="11"/>
        <v>120.90800775388904</v>
      </c>
      <c r="AE59" s="155">
        <v>2033</v>
      </c>
      <c r="AF59" s="3">
        <v>12</v>
      </c>
      <c r="AG59" s="101">
        <v>496.91869334160657</v>
      </c>
      <c r="AH59" s="124">
        <f t="shared" si="12"/>
        <v>0.18690715018666604</v>
      </c>
      <c r="AI59" s="122">
        <f t="shared" si="13"/>
        <v>92.8776568469615</v>
      </c>
      <c r="AK59" s="155">
        <v>2033</v>
      </c>
      <c r="AL59" s="3">
        <v>12</v>
      </c>
      <c r="AM59" s="101">
        <v>496.91869334160657</v>
      </c>
      <c r="AN59" s="124">
        <f t="shared" si="14"/>
        <v>0.11215665478461519</v>
      </c>
      <c r="AO59" s="122">
        <f t="shared" si="15"/>
        <v>55.732738345136625</v>
      </c>
      <c r="AQ59" s="155">
        <v>2033</v>
      </c>
      <c r="AR59" s="3">
        <v>12</v>
      </c>
      <c r="AS59" s="101">
        <v>496.91869334160657</v>
      </c>
      <c r="AT59" s="124">
        <f t="shared" si="21"/>
        <v>6.8719476736000096E-2</v>
      </c>
      <c r="AU59" s="122">
        <f t="shared" si="22"/>
        <v>34.147992586772098</v>
      </c>
      <c r="AW59" s="155">
        <v>2033</v>
      </c>
      <c r="AX59" s="3">
        <v>12</v>
      </c>
      <c r="AY59" s="101">
        <v>496.91869334160657</v>
      </c>
      <c r="AZ59" s="124">
        <f t="shared" si="17"/>
        <v>5.4184838435878499E-2</v>
      </c>
      <c r="BA59" s="122">
        <f t="shared" si="18"/>
        <v>26.925459114482805</v>
      </c>
      <c r="BC59" s="155">
        <v>2033</v>
      </c>
      <c r="BD59" s="3">
        <v>12</v>
      </c>
      <c r="BE59" s="101">
        <v>496.91869334160657</v>
      </c>
      <c r="BF59" s="124">
        <f t="shared" si="19"/>
        <v>4.2921982417991507E-2</v>
      </c>
      <c r="BG59" s="122">
        <f t="shared" si="20"/>
        <v>21.32873541877975</v>
      </c>
    </row>
    <row r="60" spans="1:59" x14ac:dyDescent="0.25">
      <c r="A60" s="155">
        <v>2034</v>
      </c>
      <c r="B60" s="3">
        <v>13</v>
      </c>
      <c r="C60" s="101">
        <v>556.19195178308655</v>
      </c>
      <c r="D60" s="9">
        <f t="shared" si="23"/>
        <v>0.87866259927242918</v>
      </c>
      <c r="E60" s="122">
        <f t="shared" si="3"/>
        <v>488.70506604813244</v>
      </c>
      <c r="G60" s="155">
        <v>2034</v>
      </c>
      <c r="H60" s="3">
        <v>13</v>
      </c>
      <c r="I60" s="101">
        <v>556.19195178308655</v>
      </c>
      <c r="J60" s="124">
        <f t="shared" si="24"/>
        <v>0.53032135064529451</v>
      </c>
      <c r="K60" s="122">
        <f t="shared" si="5"/>
        <v>294.96046708764896</v>
      </c>
      <c r="M60" s="155">
        <v>2034</v>
      </c>
      <c r="N60" s="3">
        <v>13</v>
      </c>
      <c r="O60" s="101">
        <v>556.19195178308655</v>
      </c>
      <c r="P60" s="124">
        <f t="shared" si="6"/>
        <v>0.39056198084814792</v>
      </c>
      <c r="Q60" s="122">
        <f t="shared" si="7"/>
        <v>217.22743042019985</v>
      </c>
      <c r="S60" s="155">
        <v>2034</v>
      </c>
      <c r="T60" s="3">
        <v>13</v>
      </c>
      <c r="U60" s="101">
        <v>556.19195178308655</v>
      </c>
      <c r="V60" s="124">
        <f t="shared" si="8"/>
        <v>0.28966437973668779</v>
      </c>
      <c r="W60" s="122">
        <f t="shared" si="9"/>
        <v>161.10899672778552</v>
      </c>
      <c r="Y60" s="155">
        <v>2034</v>
      </c>
      <c r="Z60" s="3">
        <v>13</v>
      </c>
      <c r="AA60" s="101">
        <v>556.19195178308655</v>
      </c>
      <c r="AB60" s="124">
        <f t="shared" si="10"/>
        <v>0.21628042194870853</v>
      </c>
      <c r="AC60" s="122">
        <f t="shared" si="11"/>
        <v>120.2934300161217</v>
      </c>
      <c r="AE60" s="155">
        <v>2034</v>
      </c>
      <c r="AF60" s="3">
        <v>13</v>
      </c>
      <c r="AG60" s="101">
        <v>556.19195178308655</v>
      </c>
      <c r="AH60" s="124">
        <f t="shared" si="12"/>
        <v>0.16252795668405742</v>
      </c>
      <c r="AI60" s="122">
        <f t="shared" si="13"/>
        <v>90.396741447422841</v>
      </c>
      <c r="AK60" s="155">
        <v>2034</v>
      </c>
      <c r="AL60" s="3">
        <v>13</v>
      </c>
      <c r="AM60" s="101">
        <v>556.19195178308655</v>
      </c>
      <c r="AN60" s="124">
        <f t="shared" si="14"/>
        <v>9.3463878987179325E-2</v>
      </c>
      <c r="AO60" s="122">
        <f t="shared" si="15"/>
        <v>51.983857275097478</v>
      </c>
      <c r="AQ60" s="155">
        <v>2034</v>
      </c>
      <c r="AR60" s="3">
        <v>13</v>
      </c>
      <c r="AS60" s="101">
        <v>556.19195178308655</v>
      </c>
      <c r="AT60" s="124">
        <f t="shared" si="21"/>
        <v>5.4975581388800078E-2</v>
      </c>
      <c r="AU60" s="122">
        <f t="shared" si="22"/>
        <v>30.576975913046642</v>
      </c>
      <c r="AW60" s="155">
        <v>2034</v>
      </c>
      <c r="AX60" s="3">
        <v>13</v>
      </c>
      <c r="AY60" s="101">
        <v>556.19195178308655</v>
      </c>
      <c r="AZ60" s="124">
        <f t="shared" si="17"/>
        <v>4.2497912498728238E-2</v>
      </c>
      <c r="BA60" s="122">
        <f t="shared" si="18"/>
        <v>23.636996899374488</v>
      </c>
      <c r="BC60" s="155">
        <v>2034</v>
      </c>
      <c r="BD60" s="3">
        <v>13</v>
      </c>
      <c r="BE60" s="101">
        <v>556.19195178308655</v>
      </c>
      <c r="BF60" s="124">
        <f t="shared" si="19"/>
        <v>3.3016909552301153E-2</v>
      </c>
      <c r="BG60" s="122">
        <f t="shared" si="20"/>
        <v>18.363739365740013</v>
      </c>
    </row>
    <row r="61" spans="1:59" x14ac:dyDescent="0.25">
      <c r="A61" s="155">
        <v>2035</v>
      </c>
      <c r="B61" s="3">
        <v>14</v>
      </c>
      <c r="C61" s="101">
        <v>635.25745604130384</v>
      </c>
      <c r="D61" s="9">
        <f t="shared" si="23"/>
        <v>0.86996296957666253</v>
      </c>
      <c r="E61" s="122">
        <f t="shared" si="3"/>
        <v>552.65046290340888</v>
      </c>
      <c r="G61" s="155">
        <v>2035</v>
      </c>
      <c r="H61" s="3">
        <v>14</v>
      </c>
      <c r="I61" s="101">
        <v>635.25745604130384</v>
      </c>
      <c r="J61" s="124">
        <f t="shared" si="24"/>
        <v>0.50506795299551854</v>
      </c>
      <c r="K61" s="122">
        <f t="shared" si="5"/>
        <v>320.84818294792194</v>
      </c>
      <c r="M61" s="155">
        <v>2035</v>
      </c>
      <c r="N61" s="3">
        <v>14</v>
      </c>
      <c r="O61" s="101">
        <v>635.25745604130384</v>
      </c>
      <c r="P61" s="124">
        <f t="shared" si="6"/>
        <v>0.36331347055641661</v>
      </c>
      <c r="Q61" s="122">
        <f t="shared" si="7"/>
        <v>230.79759105120635</v>
      </c>
      <c r="S61" s="155">
        <v>2035</v>
      </c>
      <c r="T61" s="3">
        <v>14</v>
      </c>
      <c r="U61" s="101">
        <v>635.25745604130384</v>
      </c>
      <c r="V61" s="124">
        <f t="shared" si="8"/>
        <v>0.26333125430607979</v>
      </c>
      <c r="W61" s="122">
        <f t="shared" si="9"/>
        <v>167.28314270664589</v>
      </c>
      <c r="Y61" s="155">
        <v>2035</v>
      </c>
      <c r="Z61" s="3">
        <v>14</v>
      </c>
      <c r="AA61" s="101">
        <v>635.25745604130384</v>
      </c>
      <c r="AB61" s="124">
        <f t="shared" si="10"/>
        <v>0.19224926395440761</v>
      </c>
      <c r="AC61" s="122">
        <f t="shared" si="11"/>
        <v>122.12777834549011</v>
      </c>
      <c r="AE61" s="155">
        <v>2035</v>
      </c>
      <c r="AF61" s="3">
        <v>14</v>
      </c>
      <c r="AG61" s="101">
        <v>635.25745604130384</v>
      </c>
      <c r="AH61" s="124">
        <f t="shared" si="12"/>
        <v>0.14132865798613692</v>
      </c>
      <c r="AI61" s="122">
        <f t="shared" si="13"/>
        <v>89.780083738004834</v>
      </c>
      <c r="AK61" s="155">
        <v>2035</v>
      </c>
      <c r="AL61" s="3">
        <v>14</v>
      </c>
      <c r="AM61" s="101">
        <v>635.25745604130384</v>
      </c>
      <c r="AN61" s="124">
        <f t="shared" si="14"/>
        <v>7.7886565822649453E-2</v>
      </c>
      <c r="AO61" s="122">
        <f t="shared" si="15"/>
        <v>49.478021664289855</v>
      </c>
      <c r="AQ61" s="155">
        <v>2035</v>
      </c>
      <c r="AR61" s="3">
        <v>14</v>
      </c>
      <c r="AS61" s="101">
        <v>635.25745604130384</v>
      </c>
      <c r="AT61" s="124">
        <f t="shared" si="21"/>
        <v>4.3980465111040062E-2</v>
      </c>
      <c r="AU61" s="122">
        <f t="shared" si="22"/>
        <v>27.938918381952629</v>
      </c>
      <c r="AW61" s="155">
        <v>2035</v>
      </c>
      <c r="AX61" s="3">
        <v>14</v>
      </c>
      <c r="AY61" s="101">
        <v>635.25745604130384</v>
      </c>
      <c r="AZ61" s="124">
        <f t="shared" si="17"/>
        <v>3.3331696077433921E-2</v>
      </c>
      <c r="BA61" s="122">
        <f t="shared" si="18"/>
        <v>21.174208455692579</v>
      </c>
      <c r="BC61" s="155">
        <v>2035</v>
      </c>
      <c r="BD61" s="3">
        <v>14</v>
      </c>
      <c r="BE61" s="101">
        <v>635.25745604130384</v>
      </c>
      <c r="BF61" s="124">
        <f t="shared" si="19"/>
        <v>2.539762273253935E-2</v>
      </c>
      <c r="BG61" s="122">
        <f t="shared" si="20"/>
        <v>16.134029206569735</v>
      </c>
    </row>
    <row r="62" spans="1:59" x14ac:dyDescent="0.25">
      <c r="A62" s="155">
        <v>2036</v>
      </c>
      <c r="B62" s="3">
        <v>15</v>
      </c>
      <c r="C62" s="101">
        <v>722.94075898555434</v>
      </c>
      <c r="D62" s="9">
        <f t="shared" si="23"/>
        <v>0.86134947482837876</v>
      </c>
      <c r="E62" s="122">
        <f t="shared" si="3"/>
        <v>622.70464308423675</v>
      </c>
      <c r="G62" s="155">
        <v>2036</v>
      </c>
      <c r="H62" s="3">
        <v>15</v>
      </c>
      <c r="I62" s="101">
        <v>722.94075898555434</v>
      </c>
      <c r="J62" s="124">
        <f t="shared" si="24"/>
        <v>0.48101709809097004</v>
      </c>
      <c r="K62" s="122">
        <f t="shared" si="5"/>
        <v>347.74686597891474</v>
      </c>
      <c r="M62" s="155">
        <v>2036</v>
      </c>
      <c r="N62" s="3">
        <v>15</v>
      </c>
      <c r="O62" s="101">
        <v>722.94075898555434</v>
      </c>
      <c r="P62" s="124">
        <f t="shared" si="6"/>
        <v>0.337966019122248</v>
      </c>
      <c r="Q62" s="122">
        <f t="shared" si="7"/>
        <v>244.32941037556435</v>
      </c>
      <c r="S62" s="155">
        <v>2036</v>
      </c>
      <c r="T62" s="3">
        <v>15</v>
      </c>
      <c r="U62" s="101">
        <v>722.94075898555434</v>
      </c>
      <c r="V62" s="124">
        <f t="shared" si="8"/>
        <v>0.23939204936916345</v>
      </c>
      <c r="W62" s="122">
        <f t="shared" si="9"/>
        <v>173.06626986605031</v>
      </c>
      <c r="Y62" s="155">
        <v>2036</v>
      </c>
      <c r="Z62" s="3">
        <v>15</v>
      </c>
      <c r="AA62" s="101">
        <v>722.94075898555434</v>
      </c>
      <c r="AB62" s="124">
        <f t="shared" si="10"/>
        <v>0.17088823462614008</v>
      </c>
      <c r="AC62" s="122">
        <f t="shared" si="11"/>
        <v>123.5420700423232</v>
      </c>
      <c r="AE62" s="155">
        <v>2036</v>
      </c>
      <c r="AF62" s="3">
        <v>15</v>
      </c>
      <c r="AG62" s="101">
        <v>722.94075898555434</v>
      </c>
      <c r="AH62" s="124">
        <f t="shared" si="12"/>
        <v>0.12289448520533644</v>
      </c>
      <c r="AI62" s="122">
        <f t="shared" si="13"/>
        <v>88.8454324094849</v>
      </c>
      <c r="AK62" s="155">
        <v>2036</v>
      </c>
      <c r="AL62" s="3">
        <v>15</v>
      </c>
      <c r="AM62" s="101">
        <v>722.94075898555434</v>
      </c>
      <c r="AN62" s="124">
        <f t="shared" si="14"/>
        <v>6.4905471518874547E-2</v>
      </c>
      <c r="AO62" s="122">
        <f t="shared" si="15"/>
        <v>46.922810842170442</v>
      </c>
      <c r="AQ62" s="155">
        <v>2036</v>
      </c>
      <c r="AR62" s="3">
        <v>15</v>
      </c>
      <c r="AS62" s="101">
        <v>722.94075898555434</v>
      </c>
      <c r="AT62" s="124">
        <f t="shared" si="21"/>
        <v>3.5184372088832058E-2</v>
      </c>
      <c r="AU62" s="122">
        <f t="shared" si="22"/>
        <v>25.436216662330402</v>
      </c>
      <c r="AW62" s="155">
        <v>2036</v>
      </c>
      <c r="AX62" s="3">
        <v>15</v>
      </c>
      <c r="AY62" s="101">
        <v>722.94075898555434</v>
      </c>
      <c r="AZ62" s="124">
        <f t="shared" si="17"/>
        <v>2.6142506727399158E-2</v>
      </c>
      <c r="BA62" s="122">
        <f t="shared" si="18"/>
        <v>18.899483655290908</v>
      </c>
      <c r="BC62" s="155">
        <v>2036</v>
      </c>
      <c r="BD62" s="3">
        <v>15</v>
      </c>
      <c r="BE62" s="101">
        <v>722.94075898555434</v>
      </c>
      <c r="BF62" s="124">
        <f t="shared" si="19"/>
        <v>1.9536632871184113E-2</v>
      </c>
      <c r="BG62" s="122">
        <f t="shared" si="20"/>
        <v>14.123828195915973</v>
      </c>
    </row>
    <row r="63" spans="1:59" x14ac:dyDescent="0.25">
      <c r="A63" s="155">
        <v>2037</v>
      </c>
      <c r="B63" s="3">
        <v>16</v>
      </c>
      <c r="C63" s="101">
        <v>819.9717056099397</v>
      </c>
      <c r="D63" s="9">
        <f t="shared" si="23"/>
        <v>0.85282126220631549</v>
      </c>
      <c r="E63" s="122">
        <f t="shared" si="3"/>
        <v>699.28930495173415</v>
      </c>
      <c r="G63" s="155">
        <v>2037</v>
      </c>
      <c r="H63" s="3">
        <v>16</v>
      </c>
      <c r="I63" s="101">
        <v>819.9717056099397</v>
      </c>
      <c r="J63" s="124">
        <f t="shared" si="24"/>
        <v>0.45811152199140004</v>
      </c>
      <c r="K63" s="122">
        <f t="shared" si="5"/>
        <v>375.6384860468537</v>
      </c>
      <c r="M63" s="155">
        <v>2037</v>
      </c>
      <c r="N63" s="3">
        <v>16</v>
      </c>
      <c r="O63" s="101">
        <v>819.9717056099397</v>
      </c>
      <c r="P63" s="124">
        <f t="shared" si="6"/>
        <v>0.31438699453232377</v>
      </c>
      <c r="Q63" s="122">
        <f t="shared" si="7"/>
        <v>257.78844012825232</v>
      </c>
      <c r="S63" s="155">
        <v>2037</v>
      </c>
      <c r="T63" s="3">
        <v>16</v>
      </c>
      <c r="U63" s="101">
        <v>819.9717056099397</v>
      </c>
      <c r="V63" s="124">
        <f t="shared" si="8"/>
        <v>0.21762913579014859</v>
      </c>
      <c r="W63" s="122">
        <f t="shared" si="9"/>
        <v>178.44973366426532</v>
      </c>
      <c r="Y63" s="155">
        <v>2037</v>
      </c>
      <c r="Z63" s="3">
        <v>16</v>
      </c>
      <c r="AA63" s="101">
        <v>819.9717056099397</v>
      </c>
      <c r="AB63" s="124">
        <f t="shared" si="10"/>
        <v>0.15190065300101338</v>
      </c>
      <c r="AC63" s="122">
        <f t="shared" si="11"/>
        <v>124.55423752450454</v>
      </c>
      <c r="AE63" s="155">
        <v>2037</v>
      </c>
      <c r="AF63" s="3">
        <v>16</v>
      </c>
      <c r="AG63" s="101">
        <v>819.9717056099397</v>
      </c>
      <c r="AH63" s="124">
        <f t="shared" si="12"/>
        <v>0.10686476974377082</v>
      </c>
      <c r="AI63" s="122">
        <f t="shared" si="13"/>
        <v>87.626087516413236</v>
      </c>
      <c r="AK63" s="155">
        <v>2037</v>
      </c>
      <c r="AL63" s="3">
        <v>16</v>
      </c>
      <c r="AM63" s="101">
        <v>819.9717056099397</v>
      </c>
      <c r="AN63" s="124">
        <f t="shared" si="14"/>
        <v>5.4087892932395458E-2</v>
      </c>
      <c r="AO63" s="122">
        <f t="shared" si="15"/>
        <v>44.350541820624109</v>
      </c>
      <c r="AQ63" s="155">
        <v>2037</v>
      </c>
      <c r="AR63" s="3">
        <v>16</v>
      </c>
      <c r="AS63" s="101">
        <v>819.9717056099397</v>
      </c>
      <c r="AT63" s="124">
        <f t="shared" si="21"/>
        <v>2.8147497671065648E-2</v>
      </c>
      <c r="AU63" s="122">
        <f t="shared" si="22"/>
        <v>23.080151673995505</v>
      </c>
      <c r="AW63" s="155">
        <v>2037</v>
      </c>
      <c r="AX63" s="3">
        <v>16</v>
      </c>
      <c r="AY63" s="101">
        <v>819.9717056099397</v>
      </c>
      <c r="AZ63" s="124">
        <f t="shared" si="17"/>
        <v>2.0503926845018949E-2</v>
      </c>
      <c r="BA63" s="122">
        <f t="shared" si="18"/>
        <v>16.812639866811619</v>
      </c>
      <c r="BC63" s="155">
        <v>2037</v>
      </c>
      <c r="BD63" s="3">
        <v>16</v>
      </c>
      <c r="BE63" s="101">
        <v>819.9717056099397</v>
      </c>
      <c r="BF63" s="124">
        <f t="shared" si="19"/>
        <v>1.5028179131680086E-2</v>
      </c>
      <c r="BG63" s="122">
        <f t="shared" si="20"/>
        <v>12.322681674815422</v>
      </c>
    </row>
    <row r="64" spans="1:59" x14ac:dyDescent="0.25">
      <c r="L64" s="1"/>
    </row>
    <row r="65" spans="2:59" x14ac:dyDescent="0.25">
      <c r="D65" s="3" t="s">
        <v>84</v>
      </c>
      <c r="E65" s="123">
        <f>SUM(E47:E63)</f>
        <v>4080.4193596058994</v>
      </c>
      <c r="J65" s="3" t="s">
        <v>84</v>
      </c>
      <c r="K65" s="123">
        <f>SUM(K47:K63)</f>
        <v>2421.8277120195653</v>
      </c>
      <c r="L65" s="1"/>
      <c r="P65" s="3" t="s">
        <v>84</v>
      </c>
      <c r="Q65" s="123">
        <f>SUM(Q47:Q63)</f>
        <v>1754.5670269818538</v>
      </c>
      <c r="V65" s="3" t="s">
        <v>84</v>
      </c>
      <c r="W65" s="123">
        <f>SUM(W47:W63)</f>
        <v>1269.8574684950402</v>
      </c>
      <c r="AB65" s="3" t="s">
        <v>84</v>
      </c>
      <c r="AC65" s="123">
        <f>SUM(AC47:AC63)</f>
        <v>914.01209470841741</v>
      </c>
      <c r="AH65" s="3" t="s">
        <v>84</v>
      </c>
      <c r="AI65" s="123">
        <f>SUM(AI47:AI63)</f>
        <v>650.14349891425809</v>
      </c>
      <c r="AN65" s="3" t="s">
        <v>84</v>
      </c>
      <c r="AO65" s="123">
        <f>SUM(AO47:AO63)</f>
        <v>303.44730580669903</v>
      </c>
      <c r="AT65" s="3" t="s">
        <v>84</v>
      </c>
      <c r="AU65" s="123">
        <f>SUM(AU47:AU63)</f>
        <v>102.66512581458734</v>
      </c>
      <c r="AZ65" s="3" t="s">
        <v>84</v>
      </c>
      <c r="BA65" s="123">
        <f>SUM(BA47:BA63)</f>
        <v>35.279452703432696</v>
      </c>
      <c r="BF65" s="3" t="s">
        <v>84</v>
      </c>
      <c r="BG65" s="123">
        <f>SUM(BG47:BG63)</f>
        <v>-17.14753283622526</v>
      </c>
    </row>
    <row r="66" spans="2:59" x14ac:dyDescent="0.25">
      <c r="L66" s="91"/>
    </row>
    <row r="68" spans="2:59" x14ac:dyDescent="0.25">
      <c r="B68" s="143" t="s">
        <v>92</v>
      </c>
      <c r="C68" s="143" t="s">
        <v>84</v>
      </c>
    </row>
    <row r="69" spans="2:59" x14ac:dyDescent="0.25">
      <c r="B69" s="153">
        <f>B44</f>
        <v>0.01</v>
      </c>
      <c r="C69" s="154">
        <f>E65</f>
        <v>4080.4193596058994</v>
      </c>
      <c r="G69" s="1"/>
      <c r="H69" s="1"/>
      <c r="I69" s="1"/>
      <c r="J69" s="1"/>
      <c r="K69" s="1"/>
      <c r="M69" s="1"/>
      <c r="N69" s="1"/>
      <c r="O69" s="1"/>
      <c r="P69" s="1"/>
      <c r="Q69" s="1"/>
    </row>
    <row r="70" spans="2:59" x14ac:dyDescent="0.25">
      <c r="B70" s="153">
        <f>H44</f>
        <v>0.05</v>
      </c>
      <c r="C70" s="154">
        <f>K65</f>
        <v>2421.8277120195653</v>
      </c>
      <c r="G70" s="1"/>
      <c r="H70" s="1"/>
      <c r="I70" s="1"/>
      <c r="J70" s="1"/>
      <c r="K70" s="1"/>
      <c r="M70" s="1"/>
      <c r="N70" s="1"/>
      <c r="O70" s="1"/>
      <c r="P70" s="1"/>
      <c r="Q70" s="1"/>
    </row>
    <row r="71" spans="2:59" x14ac:dyDescent="0.25">
      <c r="B71" s="153">
        <f>N44</f>
        <v>7.4999999999999997E-2</v>
      </c>
      <c r="C71" s="154">
        <f>Q65</f>
        <v>1754.5670269818538</v>
      </c>
      <c r="G71" s="91"/>
      <c r="H71" s="91"/>
      <c r="I71" s="91"/>
      <c r="J71" s="91"/>
      <c r="K71" s="91"/>
      <c r="M71" s="91"/>
      <c r="N71" s="91"/>
      <c r="O71" s="91"/>
      <c r="P71" s="91"/>
      <c r="Q71" s="91"/>
    </row>
    <row r="72" spans="2:59" x14ac:dyDescent="0.25">
      <c r="B72" s="153">
        <f>T44</f>
        <v>0.1</v>
      </c>
      <c r="C72" s="154">
        <f>W65</f>
        <v>1269.8574684950402</v>
      </c>
    </row>
    <row r="73" spans="2:59" x14ac:dyDescent="0.25">
      <c r="B73" s="153">
        <f>Z44</f>
        <v>0.125</v>
      </c>
      <c r="C73" s="154">
        <f>AC65</f>
        <v>914.01209470841741</v>
      </c>
    </row>
    <row r="74" spans="2:59" x14ac:dyDescent="0.25">
      <c r="B74" s="153">
        <f>AF44</f>
        <v>0.15</v>
      </c>
      <c r="C74" s="154">
        <f>AI65</f>
        <v>650.14349891425809</v>
      </c>
    </row>
    <row r="75" spans="2:59" x14ac:dyDescent="0.25">
      <c r="B75" s="153">
        <f>AL44</f>
        <v>0.2</v>
      </c>
      <c r="C75" s="154">
        <f>AO65</f>
        <v>303.44730580669903</v>
      </c>
    </row>
    <row r="76" spans="2:59" x14ac:dyDescent="0.25">
      <c r="B76" s="153">
        <f>AR44</f>
        <v>0.25</v>
      </c>
      <c r="C76" s="154">
        <f>AU65</f>
        <v>102.66512581458734</v>
      </c>
    </row>
    <row r="77" spans="2:59" x14ac:dyDescent="0.25">
      <c r="B77" s="153">
        <f>AX44</f>
        <v>0.27500000000000002</v>
      </c>
      <c r="C77" s="154">
        <f>BA65</f>
        <v>35.279452703432696</v>
      </c>
    </row>
    <row r="78" spans="2:59" x14ac:dyDescent="0.25">
      <c r="B78" s="153">
        <f>BD44</f>
        <v>0.3</v>
      </c>
      <c r="C78" s="154">
        <f>BG65</f>
        <v>-17.14753283622526</v>
      </c>
    </row>
    <row r="82" spans="1:5" x14ac:dyDescent="0.25">
      <c r="A82" s="181" t="s">
        <v>89</v>
      </c>
      <c r="B82" s="181"/>
    </row>
    <row r="83" spans="1:5" x14ac:dyDescent="0.25">
      <c r="A83" s="119"/>
      <c r="B83" s="119"/>
    </row>
    <row r="84" spans="1:5" x14ac:dyDescent="0.25">
      <c r="A84" s="151" t="s">
        <v>90</v>
      </c>
      <c r="B84" s="152">
        <v>0.29112384076268466</v>
      </c>
      <c r="D84" s="6"/>
      <c r="E84" s="6"/>
    </row>
    <row r="85" spans="1:5" x14ac:dyDescent="0.25">
      <c r="A85" s="126"/>
      <c r="B85" s="126"/>
    </row>
    <row r="86" spans="1:5" x14ac:dyDescent="0.25">
      <c r="A86" s="3" t="s">
        <v>9</v>
      </c>
      <c r="B86" s="3" t="s">
        <v>86</v>
      </c>
      <c r="C86" s="3" t="s">
        <v>10</v>
      </c>
      <c r="D86" s="3" t="s">
        <v>87</v>
      </c>
      <c r="E86" s="3" t="s">
        <v>88</v>
      </c>
    </row>
    <row r="87" spans="1:5" x14ac:dyDescent="0.25">
      <c r="A87" s="3">
        <v>2021</v>
      </c>
      <c r="B87" s="3">
        <v>0</v>
      </c>
      <c r="C87" s="3">
        <v>-150</v>
      </c>
      <c r="D87" s="9">
        <f t="shared" ref="D87:D98" si="25">(1/(1+$B$84)^B87)</f>
        <v>1</v>
      </c>
      <c r="E87" s="122">
        <f t="shared" ref="E87:E103" si="26">C87*D87</f>
        <v>-150</v>
      </c>
    </row>
    <row r="88" spans="1:5" x14ac:dyDescent="0.25">
      <c r="A88" s="3">
        <v>2022</v>
      </c>
      <c r="B88" s="3">
        <v>1</v>
      </c>
      <c r="C88" s="101">
        <v>-84.533333333333303</v>
      </c>
      <c r="D88" s="9">
        <f t="shared" si="25"/>
        <v>0.77451904180569253</v>
      </c>
      <c r="E88" s="122">
        <f t="shared" si="26"/>
        <v>-65.472676333974519</v>
      </c>
    </row>
    <row r="89" spans="1:5" x14ac:dyDescent="0.25">
      <c r="A89" s="3">
        <v>2023</v>
      </c>
      <c r="B89" s="3">
        <v>2</v>
      </c>
      <c r="C89" s="101">
        <v>-89.235378133333484</v>
      </c>
      <c r="D89" s="9">
        <f t="shared" si="25"/>
        <v>0.59987974611960804</v>
      </c>
      <c r="E89" s="122">
        <f t="shared" si="26"/>
        <v>-53.530495979511315</v>
      </c>
    </row>
    <row r="90" spans="1:5" x14ac:dyDescent="0.25">
      <c r="A90" s="3">
        <v>2024</v>
      </c>
      <c r="B90" s="3">
        <v>3</v>
      </c>
      <c r="C90" s="101">
        <v>-25.32495513429393</v>
      </c>
      <c r="D90" s="9">
        <f t="shared" si="25"/>
        <v>0.46461828616320094</v>
      </c>
      <c r="E90" s="122">
        <f t="shared" si="26"/>
        <v>-11.766437251655603</v>
      </c>
    </row>
    <row r="91" spans="1:5" x14ac:dyDescent="0.25">
      <c r="A91" s="3">
        <v>2025</v>
      </c>
      <c r="B91" s="3">
        <v>4</v>
      </c>
      <c r="C91" s="101">
        <v>34.142297589249893</v>
      </c>
      <c r="D91" s="9">
        <f t="shared" si="25"/>
        <v>0.35985570980452541</v>
      </c>
      <c r="E91" s="122">
        <f t="shared" si="26"/>
        <v>12.286300733336857</v>
      </c>
    </row>
    <row r="92" spans="1:5" x14ac:dyDescent="0.25">
      <c r="A92" s="3">
        <v>2026</v>
      </c>
      <c r="B92" s="3">
        <v>5</v>
      </c>
      <c r="C92" s="101">
        <v>25.776859325092687</v>
      </c>
      <c r="D92" s="9">
        <f t="shared" si="25"/>
        <v>0.27871509954610835</v>
      </c>
      <c r="E92" s="122">
        <f t="shared" si="26"/>
        <v>7.1843999127792397</v>
      </c>
    </row>
    <row r="93" spans="1:5" x14ac:dyDescent="0.25">
      <c r="A93" s="3">
        <v>2027</v>
      </c>
      <c r="B93" s="3">
        <v>6</v>
      </c>
      <c r="C93" s="101">
        <v>90.659448138157316</v>
      </c>
      <c r="D93" s="9">
        <f t="shared" si="25"/>
        <v>0.21587015183723002</v>
      </c>
      <c r="E93" s="122">
        <f t="shared" si="26"/>
        <v>19.570668835063501</v>
      </c>
    </row>
    <row r="94" spans="1:5" x14ac:dyDescent="0.25">
      <c r="A94" s="3">
        <v>2028</v>
      </c>
      <c r="B94" s="3">
        <v>7</v>
      </c>
      <c r="C94" s="101">
        <v>167.36802072787509</v>
      </c>
      <c r="D94" s="9">
        <f t="shared" si="25"/>
        <v>0.16719554315542076</v>
      </c>
      <c r="E94" s="122">
        <f t="shared" si="26"/>
        <v>27.983187132444797</v>
      </c>
    </row>
    <row r="95" spans="1:5" x14ac:dyDescent="0.25">
      <c r="A95" s="3">
        <v>2029</v>
      </c>
      <c r="B95" s="3">
        <v>8</v>
      </c>
      <c r="C95" s="101">
        <v>257.68274708528168</v>
      </c>
      <c r="D95" s="9">
        <f t="shared" si="25"/>
        <v>0.12949613187891879</v>
      </c>
      <c r="E95" s="122">
        <f t="shared" si="26"/>
        <v>33.368918999477714</v>
      </c>
    </row>
    <row r="96" spans="1:5" x14ac:dyDescent="0.25">
      <c r="A96" s="3">
        <v>2030</v>
      </c>
      <c r="B96" s="3">
        <v>9</v>
      </c>
      <c r="C96" s="101">
        <v>269.65548026642176</v>
      </c>
      <c r="D96" s="9">
        <f t="shared" si="25"/>
        <v>0.10029721998040378</v>
      </c>
      <c r="E96" s="122">
        <f t="shared" si="26"/>
        <v>27.045695023202732</v>
      </c>
    </row>
    <row r="97" spans="1:5" x14ac:dyDescent="0.25">
      <c r="A97" s="3">
        <v>2031</v>
      </c>
      <c r="B97" s="3">
        <v>10</v>
      </c>
      <c r="C97" s="101">
        <v>393.53762285569218</v>
      </c>
      <c r="D97" s="9">
        <f t="shared" si="25"/>
        <v>7.768210671499709E-2</v>
      </c>
      <c r="E97" s="122">
        <f t="shared" si="26"/>
        <v>30.570831615042156</v>
      </c>
    </row>
    <row r="98" spans="1:5" x14ac:dyDescent="0.25">
      <c r="A98" s="3">
        <v>2032</v>
      </c>
      <c r="B98" s="3">
        <v>11</v>
      </c>
      <c r="C98" s="101">
        <v>537.9731784651151</v>
      </c>
      <c r="D98" s="9">
        <f t="shared" si="25"/>
        <v>6.0166270858347096E-2</v>
      </c>
      <c r="E98" s="122">
        <f t="shared" si="26"/>
        <v>32.367839970058014</v>
      </c>
    </row>
    <row r="99" spans="1:5" x14ac:dyDescent="0.25">
      <c r="A99" s="155">
        <v>2033</v>
      </c>
      <c r="B99" s="3">
        <v>12</v>
      </c>
      <c r="C99" s="101">
        <v>496.91869334160657</v>
      </c>
      <c r="D99" s="9">
        <f t="shared" ref="D99:D103" si="27">(1/(1+$B$84)^B99)</f>
        <v>4.6599922454228754E-2</v>
      </c>
      <c r="E99" s="122">
        <f t="shared" si="26"/>
        <v>23.156372575775546</v>
      </c>
    </row>
    <row r="100" spans="1:5" x14ac:dyDescent="0.25">
      <c r="A100" s="155">
        <v>2034</v>
      </c>
      <c r="B100" s="3">
        <v>13</v>
      </c>
      <c r="C100" s="101">
        <v>556.19195178308655</v>
      </c>
      <c r="D100" s="9">
        <f t="shared" si="27"/>
        <v>3.6092527287468826E-2</v>
      </c>
      <c r="E100" s="122">
        <f t="shared" si="26"/>
        <v>20.074373196801595</v>
      </c>
    </row>
    <row r="101" spans="1:5" x14ac:dyDescent="0.25">
      <c r="A101" s="155">
        <v>2035</v>
      </c>
      <c r="B101" s="3">
        <v>14</v>
      </c>
      <c r="C101" s="101">
        <v>635.25745604130384</v>
      </c>
      <c r="D101" s="9">
        <f t="shared" si="27"/>
        <v>2.7954349651036162E-2</v>
      </c>
      <c r="E101" s="122">
        <f t="shared" si="26"/>
        <v>17.758209044606343</v>
      </c>
    </row>
    <row r="102" spans="1:5" x14ac:dyDescent="0.25">
      <c r="A102" s="155">
        <v>2036</v>
      </c>
      <c r="B102" s="3">
        <v>15</v>
      </c>
      <c r="C102" s="101">
        <v>722.94075898555434</v>
      </c>
      <c r="D102" s="9">
        <f t="shared" si="27"/>
        <v>2.1651176106021824E-2</v>
      </c>
      <c r="E102" s="122">
        <f t="shared" si="26"/>
        <v>15.652517687017317</v>
      </c>
    </row>
    <row r="103" spans="1:5" x14ac:dyDescent="0.25">
      <c r="A103" s="155">
        <v>2037</v>
      </c>
      <c r="B103" s="3">
        <v>16</v>
      </c>
      <c r="C103" s="101">
        <v>819.9717056099397</v>
      </c>
      <c r="D103" s="9">
        <f t="shared" si="27"/>
        <v>1.676924817160233E-2</v>
      </c>
      <c r="E103" s="122">
        <f t="shared" si="26"/>
        <v>13.750309025065125</v>
      </c>
    </row>
    <row r="105" spans="1:5" x14ac:dyDescent="0.25">
      <c r="D105" s="3" t="s">
        <v>84</v>
      </c>
      <c r="E105" s="123">
        <f>SUM(E87:E103)</f>
        <v>1.418552952436869E-5</v>
      </c>
    </row>
  </sheetData>
  <mergeCells count="5">
    <mergeCell ref="A2:E2"/>
    <mergeCell ref="A13:B13"/>
    <mergeCell ref="G13:H13"/>
    <mergeCell ref="A82:B82"/>
    <mergeCell ref="N3:Q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 1</vt:lpstr>
      <vt:lpstr>Negative Cashflows</vt:lpstr>
      <vt:lpstr>Positive Cashflows</vt:lpstr>
      <vt:lpstr>Question 1 Answer</vt:lpstr>
      <vt:lpstr>Question 2 Answer</vt:lpstr>
      <vt:lpstr>Q3 Working</vt:lpstr>
      <vt:lpstr> Question 3 Answer Part 1</vt:lpstr>
      <vt:lpstr>Question 3 Answer Part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Maitreyi</dc:creator>
  <cp:lastModifiedBy>Maitreyi</cp:lastModifiedBy>
  <dcterms:created xsi:type="dcterms:W3CDTF">2015-06-05T18:17:20Z</dcterms:created>
  <dcterms:modified xsi:type="dcterms:W3CDTF">2022-02-20T17:59:06Z</dcterms:modified>
</cp:coreProperties>
</file>